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Override PartName="/xl/styles.xml" ContentType="application/vnd.openxmlformats-officedocument.spreadsheetml.styles+xml"/>
  <Override PartName="/xl/theme/theme1.xml" ContentType="application/vnd.openxmlformats-officedocument.theme+xml"/>
  <Override PartName="/xl/sharedStrings.xml" ContentType="application/vnd.openxmlformats-officedocument.spreadsheetml.sharedStrings+xml"/>
  <Override PartName="/xl/worksheets/sheet1.xml" ContentType="application/vnd.openxmlformats-officedocument.spreadsheetml.worksheet+xml"/>
  <Override PartName="/xl/drawings/drawing1.xml" ContentType="application/vnd.openxmlformats-officedocument.drawing+xml"/>
  <Override PartName="/xl/drawings/charts/chart1.xml" ContentType="application/vnd.openxmlformats-officedocument.drawingml.char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&#65279;<?xml version="1.0" encoding="utf-8"?><Relationships xmlns="http://schemas.openxmlformats.org/package/2006/relationships"><Relationship Type="http://schemas.openxmlformats.org/officeDocument/2006/relationships/officeDocument" Target="/xl/workbook.xml" Id="R6a172f311656426b" /></Relationships>
</file>

<file path=xl/workbook.xml><?xml version="1.0" encoding="utf-8"?>
<x:workbook xmlns:x="http://schemas.openxmlformats.org/spreadsheetml/2006/main">
  <x:sheets>
    <x:sheet xmlns:r="http://schemas.openxmlformats.org/officeDocument/2006/relationships" name="Summary" sheetId="1" r:id="R31b61725b9894033"/>
    <x:sheet xmlns:r="http://schemas.openxmlformats.org/officeDocument/2006/relationships" name="Assumptions" sheetId="2" r:id="R0e901dba660d4edb"/>
    <x:sheet xmlns:r="http://schemas.openxmlformats.org/officeDocument/2006/relationships" name="CapEx" sheetId="3" r:id="R1483610e6fc84ffe"/>
    <x:sheet xmlns:r="http://schemas.openxmlformats.org/officeDocument/2006/relationships" name="Energy" sheetId="4" r:id="R7c023070842f4c09"/>
    <x:sheet xmlns:r="http://schemas.openxmlformats.org/officeDocument/2006/relationships" name="Tax" sheetId="5" r:id="R27ecd67cde1e4a1c"/>
    <x:sheet xmlns:r="http://schemas.openxmlformats.org/officeDocument/2006/relationships" name="Cash Flow" sheetId="6" r:id="Re0be3722e3724899"/>
    <x:sheet xmlns:r="http://schemas.openxmlformats.org/officeDocument/2006/relationships" name="Scenarios" sheetId="7" r:id="R9a48b87dc9ec4c4c"/>
    <x:sheet xmlns:r="http://schemas.openxmlformats.org/officeDocument/2006/relationships" name="Audit" sheetId="8" r:id="R5064fce910b14786"/>
    <x:sheet xmlns:r="http://schemas.openxmlformats.org/officeDocument/2006/relationships" name="Sources" sheetId="9" r:id="R49f5b91d382a44a1"/>
  </x:sheets>
  <x:definedNames>
    <x:definedName name="_xlnm.Print_Area" localSheetId="0">'Summary'!$C$2:$F$46</x:definedName>
    <x:definedName name="_xlnm.Print_Area" localSheetId="1">'Assumptions'!$C$2:$K$106</x:definedName>
    <x:definedName name="_xlnm.Print_Titles" localSheetId="1">'Assumptions'!$2:$6</x:definedName>
    <x:definedName name="_xlnm.Print_Area" localSheetId="2">'CapEx'!$C$2:$J$39</x:definedName>
    <x:definedName name="_xlnm.Print_Titles" localSheetId="2">'CapEx'!$2:$6</x:definedName>
    <x:definedName name="_xlnm.Print_Area" localSheetId="3">'Energy'!$C$2:$N$77</x:definedName>
    <x:definedName name="_xlnm.Print_Titles" localSheetId="3">'Energy'!$2:$6</x:definedName>
    <x:definedName name="_xlnm.Print_Area" localSheetId="4">'Tax'!$C$2:$N$62</x:definedName>
    <x:definedName name="_xlnm.Print_Titles" localSheetId="4">'Tax'!$2:$6</x:definedName>
    <x:definedName name="_xlnm.Print_Area" localSheetId="5">'Cash Flow'!$C$2:$N$103</x:definedName>
    <x:definedName name="_xlnm.Print_Titles" localSheetId="5">'Cash Flow'!$2:$6</x:definedName>
    <x:definedName name="_xlnm.Print_Area" localSheetId="6">'Scenarios'!$C$2:$N$65</x:definedName>
    <x:definedName name="_xlnm.Print_Titles" localSheetId="6">'Scenarios'!$2:$6</x:definedName>
    <x:definedName name="_xlnm.Print_Area" localSheetId="7">'Audit'!$C$2:$N$27</x:definedName>
    <x:definedName name="_xlnm.Print_Titles" localSheetId="7">'Audit'!$2:$6</x:definedName>
    <x:definedName name="_xlnm.Print_Area" localSheetId="8">'Sources'!$C$2:$F$39</x:definedName>
    <x:definedName name="_xlnm.Print_Titles" localSheetId="8">'Sources'!$2:$6</x:definedName>
  </x:definedNames>
</x:workbook>
</file>

<file path=xl/sharedStrings.xml><?xml version="1.0" encoding="utf-8"?>
<x:sst xmlns:x="http://schemas.openxmlformats.org/spreadsheetml/2006/main"/>
</file>

<file path=xl/styles.xml><?xml version="1.0" encoding="utf-8"?>
<x:styleSheet xmlns:x="http://schemas.openxmlformats.org/spreadsheetml/2006/main">
  <x:numFmts count="19">
    <x:numFmt numFmtId="200" formatCode="0"/>
    <x:numFmt numFmtId="201" formatCode="#,##0;(#,##0);&quot;–&quot;"/>
    <x:numFmt numFmtId="202" formatCode="0.0%;(0.0%);&quot;–&quot;"/>
    <x:numFmt numFmtId="203" formatCode="dd-mmm-yyyy"/>
    <x:numFmt numFmtId="204" formatCode="0.000"/>
    <x:numFmt numFmtId="205" formatCode="$#,##0;($#,##0);&quot;–&quot;"/>
    <x:numFmt numFmtId="206" formatCode="$0.000"/>
    <x:numFmt numFmtId="207" formatCode="0.00&quot;x&quot;"/>
    <x:numFmt numFmtId="208" formatCode="0.00%"/>
    <x:numFmt numFmtId="209" formatCode="0.000000000"/>
    <x:numFmt numFmtId="210" formatCode="dd-mmm-yy"/>
    <x:numFmt numFmtId="211" formatCode="0.000&quot;x&quot;"/>
    <x:numFmt numFmtId="212" formatCode="#,##0.0"/>
    <x:numFmt numFmtId="213" formatCode="0.0000&quot;x&quot;"/>
    <x:numFmt numFmtId="214" formatCode="0.00;[Red](0.00);&quot;–&quot;"/>
    <x:numFmt numFmtId="215" formatCode="0.00"/>
    <x:numFmt numFmtId="216" formatCode="0.0000"/>
    <x:numFmt numFmtId="217" formatCode="$0.00"/>
    <x:numFmt numFmtId="218" formatCode="  @"/>
  </x:numFmts>
  <x:fonts count="20">
    <x:font>
      <x:sz val="11"/>
      <x:name val="Times New Roman"/>
    </x:font>
    <x:font>
      <x:sz val="12"/>
      <x:color rgb="FF303030"/>
      <x:name val="Times New Roman"/>
    </x:font>
    <x:font>
      <x:b/>
      <x:sz val="18"/>
      <x:color rgb="FF303030"/>
      <x:name val="Times New Roman"/>
    </x:font>
    <x:font>
      <x:sz val="12"/>
      <x:color rgb="FF006B35"/>
      <x:name val="Times New Roman"/>
    </x:font>
    <x:font>
      <x:i/>
      <x:sz val="11"/>
      <x:color rgb="FF555555"/>
      <x:name val="Times New Roman"/>
    </x:font>
    <x:font>
      <x:sz val="12"/>
      <x:color rgb="FF0000AA"/>
      <x:name val="Times New Roman"/>
    </x:font>
    <x:font>
      <x:b/>
      <x:sz val="12"/>
      <x:color rgb="FFFFFFFF"/>
      <x:name val="Times New Roman"/>
    </x:font>
    <x:font>
      <x:b/>
      <x:sz val="12"/>
      <x:color rgb="FF303030"/>
      <x:name val="Times New Roman"/>
    </x:font>
    <x:font>
      <x:b/>
      <x:sz val="12"/>
      <x:color rgb="FF006B35"/>
      <x:name val="Times New Roman"/>
    </x:font>
    <x:font>
      <x:sz val="12"/>
      <x:color rgb="FF000000"/>
      <x:name val="Times New Roman"/>
    </x:font>
    <x:font>
      <x:b/>
      <x:sz val="12"/>
      <x:color rgb="FF000000"/>
      <x:name val="Times New Roman"/>
    </x:font>
    <x:font>
      <x:sz val="12"/>
      <x:color rgb="FF008040"/>
      <x:name val="Times New Roman"/>
    </x:font>
    <x:font>
      <x:i/>
      <x:sz val="10"/>
      <x:color rgb="FF555555"/>
      <x:name val="Times New Roman"/>
    </x:font>
    <x:font>
      <x:sz val="10"/>
      <x:color rgb="FF303030"/>
      <x:name val="Times New Roman"/>
    </x:font>
    <x:font>
      <x:sz val="10"/>
      <x:color rgb="FF000000"/>
      <x:name val="Times New Roman"/>
    </x:font>
    <x:font>
      <x:sz val="10"/>
      <x:color rgb="FF008040"/>
      <x:name val="Times New Roman"/>
    </x:font>
    <x:font>
      <x:sz val="10"/>
      <x:color rgb="FF9C0006"/>
      <x:name val="Times New Roman"/>
    </x:font>
    <x:font>
      <x:sz val="12"/>
      <x:color rgb="FF222222"/>
      <x:name val="Times New Roman"/>
    </x:font>
    <x:font>
      <x:b/>
      <x:sz val="12"/>
      <x:color rgb="FF222222"/>
      <x:name val="Times New Roman"/>
    </x:font>
    <x:font>
      <x:sz val="10"/>
      <x:color rgb="FF222222"/>
      <x:name val="Times New Roman"/>
    </x:font>
  </x:fonts>
  <x:fills count="6">
    <x:fill>
      <x:patternFill patternType="none"/>
    </x:fill>
    <x:fill>
      <x:patternFill patternType="gray125"/>
    </x:fill>
    <x:fill>
      <x:patternFill patternType="solid">
        <x:fgColor rgb="FFF1F1F1"/>
      </x:patternFill>
    </x:fill>
    <x:fill>
      <x:patternFill patternType="solid">
        <x:fgColor rgb="FF303030"/>
      </x:patternFill>
    </x:fill>
    <x:fill>
      <x:patternFill patternType="solid">
        <x:fgColor rgb="FFFFFFFF"/>
      </x:patternFill>
    </x:fill>
    <x:fill>
      <x:patternFill patternType="solid">
        <x:fgColor rgb="FFE9E9E9"/>
      </x:patternFill>
    </x:fill>
  </x:fills>
  <x:borders count="2">
    <x:border>
      <x:left/>
      <x:right/>
      <x:top/>
      <x:bottom/>
      <x:diagonal/>
    </x:border>
    <x:border>
      <x:left style="dotted">
        <x:color rgb="FF999999"/>
      </x:left>
      <x:right style="dotted">
        <x:color rgb="FF999999"/>
      </x:right>
      <x:top style="dotted">
        <x:color rgb="FF999999"/>
      </x:top>
      <x:bottom style="dotted">
        <x:color rgb="FF999999"/>
      </x:bottom>
      <x:diagonal/>
    </x:border>
  </x:borders>
  <x:cellStyleXfs count="1">
    <x:xf numFmtId="0" fontId="0" fillId="0" borderId="0"/>
  </x:cellStyleXfs>
  <x:cellXfs count="96">
    <x:xf numFmtId="0" fontId="0" fillId="0" borderId="0" xfId="0"/>
    <x:xf numFmtId="0" fontId="1" fillId="0" borderId="0" xfId="0" applyNumberFormat="1" applyFont="1" applyFill="1" applyBorder="1"/>
    <x:xf numFmtId="0" fontId="1" fillId="0" borderId="0" xfId="0" applyNumberFormat="1" applyFont="1" applyFill="1" applyBorder="1" applyAlignment="1">
      <x:alignment vertical="center"/>
    </x:xf>
    <x:xf numFmtId="0" fontId="2" fillId="0" borderId="0" xfId="0" applyNumberFormat="1" applyFont="1" applyFill="1" applyBorder="1" applyAlignment="1">
      <x:alignment vertical="center"/>
    </x:xf>
    <x:xf numFmtId="0" fontId="3" fillId="0" borderId="0" xfId="0" applyNumberFormat="1" applyFont="1" applyFill="1" applyBorder="1" applyAlignment="1">
      <x:alignment vertical="center"/>
    </x:xf>
    <x:xf numFmtId="0" fontId="4" fillId="0" borderId="0" xfId="0" applyNumberFormat="1" applyFont="1" applyFill="1" applyBorder="1" applyAlignment="1">
      <x:alignment vertical="center"/>
    </x:xf>
    <x:xf numFmtId="0" fontId="5" fillId="0" borderId="0" xfId="0" applyNumberFormat="1" applyFont="1" applyFill="1" applyBorder="1" applyAlignment="1">
      <x:alignment vertical="center"/>
    </x:xf>
    <x:xf numFmtId="0" fontId="5" fillId="2" borderId="0" xfId="0" applyNumberFormat="1" applyFont="1" applyFill="1" applyBorder="1" applyAlignment="1">
      <x:alignment vertical="center"/>
    </x:xf>
    <x:xf numFmtId="200" fontId="5" fillId="2" borderId="0" xfId="0" applyNumberFormat="1" applyFont="1" applyFill="1" applyBorder="1" applyAlignment="1">
      <x:alignment vertical="center"/>
    </x:xf>
    <x:xf numFmtId="0" fontId="1" fillId="3" borderId="0" xfId="0" applyNumberFormat="1" applyFont="1" applyFill="1" applyBorder="1" applyAlignment="1">
      <x:alignment vertical="center"/>
    </x:xf>
    <x:xf numFmtId="0" fontId="6" fillId="3" borderId="0" xfId="0" applyNumberFormat="1" applyFont="1" applyFill="1" applyBorder="1" applyAlignment="1">
      <x:alignment vertical="center"/>
    </x:xf>
    <x:xf numFmtId="0" fontId="6" fillId="3" borderId="0" xfId="0" applyNumberFormat="1" applyFont="1" applyFill="1" applyBorder="1" applyAlignment="1">
      <x:alignment vertical="center" wrapText="1"/>
    </x:xf>
    <x:xf numFmtId="201" fontId="5" fillId="2" borderId="0" xfId="0" applyNumberFormat="1" applyFont="1" applyFill="1" applyBorder="1" applyAlignment="1">
      <x:alignment vertical="center"/>
    </x:xf>
    <x:xf numFmtId="202" fontId="5" fillId="2" borderId="0" xfId="0" applyNumberFormat="1" applyFont="1" applyFill="1" applyBorder="1" applyAlignment="1">
      <x:alignment vertical="center"/>
    </x:xf>
    <x:xf numFmtId="203" fontId="5" fillId="2" borderId="0" xfId="0" applyNumberFormat="1" applyFont="1" applyFill="1" applyBorder="1" applyAlignment="1">
      <x:alignment vertical="center"/>
    </x:xf>
    <x:xf numFmtId="201" fontId="5" fillId="4" borderId="0" xfId="0" applyNumberFormat="1" applyFont="1" applyFill="1" applyBorder="1" applyAlignment="1">
      <x:alignment vertical="center"/>
    </x:xf>
    <x:xf numFmtId="201" fontId="1" fillId="4" borderId="0" xfId="0" applyNumberFormat="1" applyFont="1" applyFill="1" applyBorder="1" applyAlignment="1">
      <x:alignment vertical="center"/>
    </x:xf>
    <x:xf numFmtId="0" fontId="1" fillId="5" borderId="0" xfId="0" applyNumberFormat="1" applyFont="1" applyFill="1" applyBorder="1" applyAlignment="1">
      <x:alignment vertical="center"/>
    </x:xf>
    <x:xf numFmtId="0" fontId="7" fillId="5" borderId="0" xfId="0" applyNumberFormat="1" applyFont="1" applyFill="1" applyBorder="1" applyAlignment="1">
      <x:alignment vertical="center"/>
    </x:xf>
    <x:xf numFmtId="204" fontId="5" fillId="2" borderId="0" xfId="0" applyNumberFormat="1" applyFont="1" applyFill="1" applyBorder="1" applyAlignment="1">
      <x:alignment vertical="center"/>
    </x:xf>
    <x:xf numFmtId="205" fontId="5" fillId="2" borderId="0" xfId="0" applyNumberFormat="1" applyFont="1" applyFill="1" applyBorder="1" applyAlignment="1">
      <x:alignment vertical="center"/>
    </x:xf>
    <x:xf numFmtId="206" fontId="7" fillId="5" borderId="0" xfId="0" applyNumberFormat="1" applyFont="1" applyFill="1" applyBorder="1" applyAlignment="1">
      <x:alignment vertical="center"/>
    </x:xf>
    <x:xf numFmtId="206" fontId="5" fillId="2" borderId="0" xfId="0" applyNumberFormat="1" applyFont="1" applyFill="1" applyBorder="1" applyAlignment="1">
      <x:alignment vertical="center"/>
    </x:xf>
    <x:xf numFmtId="207" fontId="7" fillId="5" borderId="0" xfId="0" applyNumberFormat="1" applyFont="1" applyFill="1" applyBorder="1" applyAlignment="1">
      <x:alignment vertical="center"/>
    </x:xf>
    <x:xf numFmtId="207" fontId="5" fillId="2" borderId="0" xfId="0" applyNumberFormat="1" applyFont="1" applyFill="1" applyBorder="1" applyAlignment="1">
      <x:alignment vertical="center"/>
    </x:xf>
    <x:xf numFmtId="202" fontId="7" fillId="5" borderId="0" xfId="0" applyNumberFormat="1" applyFont="1" applyFill="1" applyBorder="1" applyAlignment="1">
      <x:alignment vertical="center"/>
    </x:xf>
    <x:xf numFmtId="208" fontId="5" fillId="2" borderId="0" xfId="0" applyNumberFormat="1" applyFont="1" applyFill="1" applyBorder="1" applyAlignment="1">
      <x:alignment vertical="center"/>
    </x:xf>
    <x:xf numFmtId="209" fontId="5" fillId="2" borderId="0" xfId="0" applyNumberFormat="1" applyFont="1" applyFill="1" applyBorder="1" applyAlignment="1">
      <x:alignment vertical="center"/>
    </x:xf>
    <x:xf numFmtId="205" fontId="1" fillId="0" borderId="0" xfId="0" applyNumberFormat="1" applyFont="1" applyFill="1" applyBorder="1" applyAlignment="1">
      <x:alignment vertical="center"/>
    </x:xf>
    <x:xf numFmtId="205" fontId="3" fillId="0" borderId="0" xfId="0" applyNumberFormat="1" applyFont="1" applyFill="1" applyBorder="1" applyAlignment="1">
      <x:alignment vertical="center"/>
    </x:xf>
    <x:xf numFmtId="207" fontId="3" fillId="0" borderId="0" xfId="0" applyNumberFormat="1" applyFont="1" applyFill="1" applyBorder="1" applyAlignment="1">
      <x:alignment vertical="center"/>
    </x:xf>
    <x:xf numFmtId="205" fontId="1" fillId="5" borderId="0" xfId="0" applyNumberFormat="1" applyFont="1" applyFill="1" applyBorder="1" applyAlignment="1">
      <x:alignment vertical="center"/>
    </x:xf>
    <x:xf numFmtId="205" fontId="7" fillId="5" borderId="0" xfId="0" applyNumberFormat="1" applyFont="1" applyFill="1" applyBorder="1" applyAlignment="1">
      <x:alignment vertical="center"/>
    </x:xf>
    <x:xf numFmtId="202" fontId="3" fillId="0" borderId="0" xfId="0" applyNumberFormat="1" applyFont="1" applyFill="1" applyBorder="1" applyAlignment="1">
      <x:alignment vertical="center"/>
    </x:xf>
    <x:xf numFmtId="201" fontId="3" fillId="0" borderId="0" xfId="0" applyNumberFormat="1" applyFont="1" applyFill="1" applyBorder="1" applyAlignment="1">
      <x:alignment vertical="center"/>
    </x:xf>
    <x:xf numFmtId="201" fontId="1" fillId="0" borderId="0" xfId="0" applyNumberFormat="1" applyFont="1" applyFill="1" applyBorder="1" applyAlignment="1">
      <x:alignment vertical="center"/>
    </x:xf>
    <x:xf numFmtId="202" fontId="1" fillId="0" borderId="0" xfId="0" applyNumberFormat="1" applyFont="1" applyFill="1" applyBorder="1" applyAlignment="1">
      <x:alignment vertical="center"/>
    </x:xf>
    <x:xf numFmtId="201" fontId="1" fillId="5" borderId="0" xfId="0" applyNumberFormat="1" applyFont="1" applyFill="1" applyBorder="1" applyAlignment="1">
      <x:alignment vertical="center"/>
    </x:xf>
    <x:xf numFmtId="201" fontId="7" fillId="5" borderId="0" xfId="0" applyNumberFormat="1" applyFont="1" applyFill="1" applyBorder="1" applyAlignment="1">
      <x:alignment vertical="center"/>
    </x:xf>
    <x:xf numFmtId="205" fontId="3" fillId="5" borderId="0" xfId="0" applyNumberFormat="1" applyFont="1" applyFill="1" applyBorder="1" applyAlignment="1">
      <x:alignment vertical="center"/>
    </x:xf>
    <x:xf numFmtId="205" fontId="8" fillId="5" borderId="0" xfId="0" applyNumberFormat="1" applyFont="1" applyFill="1" applyBorder="1" applyAlignment="1">
      <x:alignment vertical="center"/>
    </x:xf>
    <x:xf numFmtId="210" fontId="3" fillId="0" borderId="0" xfId="0" applyNumberFormat="1" applyFont="1" applyFill="1" applyBorder="1" applyAlignment="1">
      <x:alignment vertical="center"/>
    </x:xf>
    <x:xf numFmtId="210" fontId="1" fillId="0" borderId="0" xfId="0" applyNumberFormat="1" applyFont="1" applyFill="1" applyBorder="1" applyAlignment="1">
      <x:alignment vertical="center"/>
    </x:xf>
    <x:xf numFmtId="206" fontId="1" fillId="0" borderId="0" xfId="0" applyNumberFormat="1" applyFont="1" applyFill="1" applyBorder="1" applyAlignment="1">
      <x:alignment vertical="center"/>
    </x:xf>
    <x:xf numFmtId="206" fontId="3" fillId="0" borderId="0" xfId="0" applyNumberFormat="1" applyFont="1" applyFill="1" applyBorder="1" applyAlignment="1">
      <x:alignment vertical="center"/>
    </x:xf>
    <x:xf numFmtId="211" fontId="1" fillId="0" borderId="0" xfId="0" applyNumberFormat="1" applyFont="1" applyFill="1" applyBorder="1" applyAlignment="1">
      <x:alignment vertical="center"/>
    </x:xf>
    <x:xf numFmtId="211" fontId="3" fillId="0" borderId="0" xfId="0" applyNumberFormat="1" applyFont="1" applyFill="1" applyBorder="1" applyAlignment="1">
      <x:alignment vertical="center"/>
    </x:xf>
    <x:xf numFmtId="212" fontId="3" fillId="0" borderId="0" xfId="0" applyNumberFormat="1" applyFont="1" applyFill="1" applyBorder="1" applyAlignment="1">
      <x:alignment vertical="center"/>
    </x:xf>
    <x:xf numFmtId="212" fontId="1" fillId="0" borderId="0" xfId="0" applyNumberFormat="1" applyFont="1" applyFill="1" applyBorder="1" applyAlignment="1">
      <x:alignment vertical="center"/>
    </x:xf>
    <x:xf numFmtId="213" fontId="3" fillId="0" borderId="0" xfId="0" applyNumberFormat="1" applyFont="1" applyFill="1" applyBorder="1" applyAlignment="1">
      <x:alignment vertical="center"/>
    </x:xf>
    <x:xf numFmtId="214" fontId="1" fillId="0" borderId="0" xfId="0" applyNumberFormat="1" applyFont="1" applyFill="1" applyBorder="1" applyAlignment="1">
      <x:alignment vertical="center"/>
    </x:xf>
    <x:xf numFmtId="215" fontId="1" fillId="0" borderId="0" xfId="0" applyNumberFormat="1" applyFont="1" applyFill="1" applyBorder="1" applyAlignment="1">
      <x:alignment vertical="center"/>
    </x:xf>
    <x:xf numFmtId="216" fontId="3" fillId="0" borderId="0" xfId="0" applyNumberFormat="1" applyFont="1" applyFill="1" applyBorder="1" applyAlignment="1">
      <x:alignment vertical="center"/>
    </x:xf>
    <x:xf numFmtId="217" fontId="6" fillId="3" borderId="0" xfId="0" applyNumberFormat="1" applyFont="1" applyFill="1" applyBorder="1" applyAlignment="1">
      <x:alignment vertical="center" wrapText="1"/>
    </x:xf>
    <x:xf numFmtId="216" fontId="1" fillId="0" borderId="0" xfId="0" applyNumberFormat="1" applyFont="1" applyFill="1" applyBorder="1" applyAlignment="1">
      <x:alignment vertical="center"/>
    </x:xf>
    <x:xf numFmtId="0" fontId="1" fillId="0" borderId="0" xfId="0" applyNumberFormat="1" applyFont="1" applyFill="1" applyBorder="1" applyAlignment="1">
      <x:alignment vertical="center" wrapText="1"/>
    </x:xf>
    <x:xf numFmtId="0" fontId="3" fillId="0" borderId="1" xfId="0" applyNumberFormat="1" applyFont="1" applyFill="1" applyBorder="1" applyAlignment="1">
      <x:alignment vertical="center"/>
    </x:xf>
    <x:xf numFmtId="0" fontId="1" fillId="0" borderId="1" xfId="0" applyNumberFormat="1" applyFont="1" applyFill="1" applyBorder="1" applyAlignment="1">
      <x:alignment vertical="center"/>
    </x:xf>
    <x:xf numFmtId="0" fontId="4" fillId="0" borderId="0" xfId="0" applyNumberFormat="1" applyFont="1" applyFill="1" applyBorder="1" applyAlignment="1">
      <x:alignment vertical="center" wrapText="1"/>
    </x:xf>
    <x:xf numFmtId="0" fontId="7" fillId="4" borderId="0" xfId="0" applyNumberFormat="1" applyFont="1" applyFill="1" applyBorder="1" applyAlignment="1">
      <x:alignment vertical="center"/>
    </x:xf>
    <x:xf numFmtId="201" fontId="1" fillId="2" borderId="0" xfId="0" applyNumberFormat="1" applyFont="1" applyFill="1" applyBorder="1" applyAlignment="1">
      <x:alignment vertical="center"/>
    </x:xf>
    <x:xf numFmtId="218" fontId="1" fillId="0" borderId="0" xfId="0" applyNumberFormat="1" applyFont="1" applyFill="1" applyBorder="1" applyAlignment="1">
      <x:alignment vertical="center"/>
    </x:xf>
    <x:xf numFmtId="0" fontId="9" fillId="0" borderId="0" xfId="0" applyNumberFormat="1" applyFont="1" applyFill="1" applyBorder="1" applyAlignment="1">
      <x:alignment vertical="center"/>
    </x:xf>
    <x:xf numFmtId="206" fontId="10" fillId="5" borderId="0" xfId="0" applyNumberFormat="1" applyFont="1" applyFill="1" applyBorder="1" applyAlignment="1">
      <x:alignment vertical="center"/>
    </x:xf>
    <x:xf numFmtId="0" fontId="11" fillId="0" borderId="0" xfId="0" applyNumberFormat="1" applyFont="1" applyFill="1" applyBorder="1" applyAlignment="1">
      <x:alignment vertical="center"/>
    </x:xf>
    <x:xf numFmtId="207" fontId="10" fillId="5" borderId="0" xfId="0" applyNumberFormat="1" applyFont="1" applyFill="1" applyBorder="1" applyAlignment="1">
      <x:alignment vertical="center"/>
    </x:xf>
    <x:xf numFmtId="202" fontId="10" fillId="5" borderId="0" xfId="0" applyNumberFormat="1" applyFont="1" applyFill="1" applyBorder="1" applyAlignment="1">
      <x:alignment vertical="center"/>
    </x:xf>
    <x:xf numFmtId="0" fontId="9" fillId="0" borderId="1" xfId="0" applyNumberFormat="1" applyFont="1" applyFill="1" applyBorder="1" applyAlignment="1">
      <x:alignment vertical="center"/>
    </x:xf>
    <x:xf numFmtId="205" fontId="11" fillId="0" borderId="0" xfId="0" applyNumberFormat="1" applyFont="1" applyFill="1" applyBorder="1" applyAlignment="1">
      <x:alignment vertical="center"/>
    </x:xf>
    <x:xf numFmtId="218" fontId="9" fillId="0" borderId="0" xfId="0" applyNumberFormat="1" applyFont="1" applyFill="1" applyBorder="1" applyAlignment="1">
      <x:alignment vertical="center"/>
    </x:xf>
    <x:xf numFmtId="206" fontId="11" fillId="0" borderId="0" xfId="0" applyNumberFormat="1" applyFont="1" applyFill="1" applyBorder="1" applyAlignment="1">
      <x:alignment vertical="center"/>
    </x:xf>
    <x:xf numFmtId="202" fontId="11" fillId="0" borderId="0" xfId="0" applyNumberFormat="1" applyFont="1" applyFill="1" applyBorder="1" applyAlignment="1">
      <x:alignment vertical="center"/>
    </x:xf>
    <x:xf numFmtId="215" fontId="11" fillId="0" borderId="0" xfId="0" applyNumberFormat="1" applyFont="1" applyFill="1" applyBorder="1" applyAlignment="1">
      <x:alignment vertical="center"/>
    </x:xf>
    <x:xf numFmtId="0" fontId="11" fillId="0" borderId="0" xfId="0" applyNumberFormat="1" applyFont="1" applyFill="1" applyBorder="1" applyAlignment="1">
      <x:alignment vertical="center" wrapText="1"/>
    </x:xf>
    <x:xf numFmtId="216" fontId="11" fillId="0" borderId="0" xfId="0" applyNumberFormat="1" applyFont="1" applyFill="1" applyBorder="1" applyAlignment="1">
      <x:alignment vertical="center"/>
    </x:xf>
    <x:xf numFmtId="0" fontId="4" fillId="0" borderId="0" xfId="0" applyNumberFormat="1" applyFont="1" applyFill="1" applyBorder="1" applyAlignment="1">
      <x:alignment vertical="center" wrapText="0"/>
    </x:xf>
    <x:xf numFmtId="0" fontId="12" fillId="0" borderId="0" xfId="0" applyNumberFormat="1" applyFont="1" applyFill="1" applyBorder="1" applyAlignment="1">
      <x:alignment vertical="center" wrapText="0"/>
    </x:xf>
    <x:xf numFmtId="0" fontId="13" fillId="0" borderId="0" xfId="0" applyNumberFormat="1" applyFont="1" applyFill="1" applyBorder="1" applyAlignment="1">
      <x:alignment vertical="center"/>
    </x:xf>
    <x:xf numFmtId="0" fontId="14" fillId="0" borderId="0" xfId="0" applyNumberFormat="1" applyFont="1" applyFill="1" applyBorder="1" applyAlignment="1">
      <x:alignment vertical="center"/>
    </x:xf>
    <x:xf numFmtId="0" fontId="15" fillId="0" borderId="0" xfId="0" applyNumberFormat="1" applyFont="1" applyFill="1" applyBorder="1" applyAlignment="1">
      <x:alignment vertical="center"/>
    </x:xf>
    <x:xf numFmtId="0" fontId="16" fillId="0" borderId="0" xfId="0" applyNumberFormat="1" applyFont="1" applyFill="1" applyBorder="1" applyAlignment="1">
      <x:alignment vertical="center"/>
    </x:xf>
    <x:xf numFmtId="205" fontId="17" fillId="0" borderId="0" xfId="0" applyNumberFormat="1" applyFont="1" applyFill="1" applyBorder="1" applyAlignment="1">
      <x:alignment vertical="center"/>
    </x:xf>
    <x:xf numFmtId="202" fontId="17" fillId="0" borderId="0" xfId="0" applyNumberFormat="1" applyFont="1" applyFill="1" applyBorder="1" applyAlignment="1">
      <x:alignment vertical="center"/>
    </x:xf>
    <x:xf numFmtId="215" fontId="17" fillId="0" borderId="0" xfId="0" applyNumberFormat="1" applyFont="1" applyFill="1" applyBorder="1" applyAlignment="1">
      <x:alignment vertical="center"/>
    </x:xf>
    <x:xf numFmtId="0" fontId="17" fillId="0" borderId="0" xfId="0" applyNumberFormat="1" applyFont="1" applyFill="1" applyBorder="1" applyAlignment="1">
      <x:alignment vertical="center"/>
    </x:xf>
    <x:xf numFmtId="0" fontId="18" fillId="5" borderId="0" xfId="0" applyNumberFormat="1" applyFont="1" applyFill="1" applyBorder="1" applyAlignment="1">
      <x:alignment vertical="center"/>
    </x:xf>
    <x:xf numFmtId="0" fontId="17" fillId="0" borderId="0" xfId="0" applyNumberFormat="1" applyFont="1" applyFill="1" applyBorder="1" applyAlignment="1">
      <x:alignment vertical="center" wrapText="1"/>
    </x:xf>
    <x:xf numFmtId="216" fontId="17" fillId="0" borderId="0" xfId="0" applyNumberFormat="1" applyFont="1" applyFill="1" applyBorder="1" applyAlignment="1">
      <x:alignment vertical="center"/>
    </x:xf>
    <x:xf numFmtId="205" fontId="17" fillId="0" borderId="0" xfId="0" applyNumberFormat="1" applyFont="1" applyFill="1" applyBorder="1" applyAlignment="1">
      <x:alignment horizontal="right" vertical="center"/>
    </x:xf>
    <x:xf numFmtId="202" fontId="17" fillId="0" borderId="0" xfId="0" applyNumberFormat="1" applyFont="1" applyFill="1" applyBorder="1" applyAlignment="1">
      <x:alignment horizontal="right" vertical="center"/>
    </x:xf>
    <x:xf numFmtId="215" fontId="17" fillId="0" borderId="0" xfId="0" applyNumberFormat="1" applyFont="1" applyFill="1" applyBorder="1" applyAlignment="1">
      <x:alignment horizontal="right" vertical="center"/>
    </x:xf>
    <x:xf numFmtId="205" fontId="11" fillId="0" borderId="0" xfId="0" applyNumberFormat="1" applyFont="1" applyFill="1" applyBorder="1" applyAlignment="1">
      <x:alignment horizontal="right" vertical="center"/>
    </x:xf>
    <x:xf numFmtId="202" fontId="11" fillId="0" borderId="0" xfId="0" applyNumberFormat="1" applyFont="1" applyFill="1" applyBorder="1" applyAlignment="1">
      <x:alignment horizontal="right" vertical="center"/>
    </x:xf>
    <x:xf numFmtId="215" fontId="11" fillId="0" borderId="0" xfId="0" applyNumberFormat="1" applyFont="1" applyFill="1" applyBorder="1" applyAlignment="1">
      <x:alignment horizontal="right" vertical="center"/>
    </x:xf>
    <x:xf numFmtId="205" fontId="1" fillId="0" borderId="0" xfId="0" applyNumberFormat="1" applyFont="1" applyFill="1" applyBorder="1" applyAlignment="1">
      <x:alignment horizontal="right" vertical="center"/>
    </x:xf>
    <x:xf numFmtId="0" fontId="19" fillId="0" borderId="0" xfId="0" applyNumberFormat="1" applyFont="1" applyFill="1" applyBorder="1" applyAlignment="1">
      <x:alignment vertical="center"/>
    </x:xf>
  </x:cellXfs>
  <x:cellStyles count="1">
    <x:cellStyle name="Normal" xfId="0"/>
  </x:cellStyles>
  <x:dxfs count="7">
    <x:dxf>
      <x:font>
        <x:b/>
        <x:color rgb="FF990000"/>
      </x:font>
      <x:fill>
        <x:patternFill>
          <x:bgColor rgb="FFFFE3E3"/>
        </x:patternFill>
      </x:fill>
    </x:dxf>
    <x:dxf>
      <x:font>
        <x:b/>
        <x:color rgb="FF9C0006"/>
      </x:font>
    </x:dxf>
    <x:dxf>
      <x:font>
        <x:b/>
        <x:color rgb="FF9C0006"/>
      </x:font>
    </x:dxf>
    <x:dxf>
      <x:font>
        <x:b/>
        <x:color rgb="FF9C0006"/>
      </x:font>
    </x:dxf>
    <x:dxf>
      <x:font>
        <x:b/>
        <x:color rgb="FF9C0006"/>
      </x:font>
    </x:dxf>
    <x:dxf>
      <x:font>
        <x:b/>
        <x:color rgb="FF9C0006"/>
      </x:font>
    </x:dxf>
    <x:dxf>
      <x:font>
        <x:b/>
        <x:color rgb="FF9C0006"/>
      </x:font>
    </x:dxf>
  </x:dxfs>
</x:styleSheet>
</file>

<file path=xl/_rels/workbook.xml.rels>&#65279;<?xml version="1.0" encoding="utf-8"?><Relationships xmlns="http://schemas.openxmlformats.org/package/2006/relationships"><Relationship Type="http://schemas.openxmlformats.org/officeDocument/2006/relationships/styles" Target="/xl/styles.xml" Id="Rd4e5ef4c181645f7" /><Relationship Type="http://schemas.openxmlformats.org/officeDocument/2006/relationships/theme" Target="/xl/theme/theme1.xml" Id="R08490987216e4666" /><Relationship Type="http://schemas.openxmlformats.org/officeDocument/2006/relationships/sharedStrings" Target="/xl/sharedStrings.xml" Id="Rc618383b9f6742b4" /><Relationship Type="http://schemas.openxmlformats.org/officeDocument/2006/relationships/worksheet" Target="/xl/worksheets/sheet1.xml" Id="R31b61725b9894033" /><Relationship Type="http://schemas.openxmlformats.org/officeDocument/2006/relationships/worksheet" Target="/xl/worksheets/sheet2.xml" Id="R0e901dba660d4edb" /><Relationship Type="http://schemas.openxmlformats.org/officeDocument/2006/relationships/worksheet" Target="/xl/worksheets/sheet3.xml" Id="R1483610e6fc84ffe" /><Relationship Type="http://schemas.openxmlformats.org/officeDocument/2006/relationships/worksheet" Target="/xl/worksheets/sheet4.xml" Id="R7c023070842f4c09" /><Relationship Type="http://schemas.openxmlformats.org/officeDocument/2006/relationships/worksheet" Target="/xl/worksheets/sheet5.xml" Id="R27ecd67cde1e4a1c" /><Relationship Type="http://schemas.openxmlformats.org/officeDocument/2006/relationships/worksheet" Target="/xl/worksheets/sheet6.xml" Id="Re0be3722e3724899" /><Relationship Type="http://schemas.openxmlformats.org/officeDocument/2006/relationships/worksheet" Target="/xl/worksheets/sheet7.xml" Id="R9a48b87dc9ec4c4c" /><Relationship Type="http://schemas.openxmlformats.org/officeDocument/2006/relationships/worksheet" Target="/xl/worksheets/sheet8.xml" Id="R5064fce910b14786" /><Relationship Type="http://schemas.openxmlformats.org/officeDocument/2006/relationships/worksheet" Target="/xl/worksheets/sheet9.xml" Id="R49f5b91d382a44a1" /></Relationships>
</file>

<file path=xl/drawings/_rels/drawing1.xml.rels>&#65279;<?xml version="1.0" encoding="utf-8"?><Relationships xmlns="http://schemas.openxmlformats.org/package/2006/relationships"><Relationship Type="http://schemas.openxmlformats.org/officeDocument/2006/relationships/chart" Target="/xl/drawings/charts/chart1.xml" Id="R86c9e415522946af" /></Relationships>
</file>

<file path=xl/drawings/charts/chart1.xml><?xml version="1.0" encoding="utf-8"?>
<c:chartSpace xmlns:c="http://schemas.openxmlformats.org/drawingml/2006/chart">
  <c:lang val="en-US"/>
  <c:roundedCorners val="0"/>
  <c:chart>
    <c:title>
      <c:tx>
        <c:rich>
          <a:bodyPr xmlns:a="http://schemas.openxmlformats.org/drawingml/2006/main"/>
          <a:lstStyle xmlns:a="http://schemas.openxmlformats.org/drawingml/2006/main"/>
          <a:p xmlns:a="http://schemas.openxmlformats.org/drawingml/2006/main">
            <a:r>
              <a:rPr sz="1125">
                <a:latin typeface="Times New Roman"/>
                <a:ea typeface="Times New Roman"/>
                <a:cs typeface="Times New Roman"/>
              </a:rPr>
              <a:t>Discounted investment recovery ($M)</a:t>
            </a:r>
          </a:p>
        </c:rich>
      </c:tx>
      <c:overlay val="0"/>
      <c:txPr>
        <a:bodyPr xmlns:a="http://schemas.openxmlformats.org/drawingml/2006/main" anchorCtr="1"/>
        <a:lstStyle xmlns:a="http://schemas.openxmlformats.org/drawingml/2006/main"/>
        <a:p xmlns:a="http://schemas.openxmlformats.org/drawingml/2006/main">
          <a:pPr>
            <a:defRPr sz="1125">
              <a:latin typeface="Times New Roman"/>
              <a:ea typeface="Times New Roman"/>
              <a:cs typeface="Times New Roman"/>
            </a:defRPr>
          </a:pPr>
        </a:p>
      </c:txPr>
    </c:title>
    <c:plotArea>
      <c:lineChart>
        <c:grouping val="standard"/>
        <c:varyColors val="0"/>
        <c:ser>
          <c:idx val="0"/>
          <c:order val="0"/>
          <c:tx>
            <c:v>B Full</c:v>
          </c:tx>
          <c:spPr>
            <a:ln xmlns:a="http://schemas.openxmlformats.org/drawingml/2006/main" w="19050">
              <a:solidFill>
                <a:srgbClr val="333333"/>
              </a:solidFill>
              <a:prstDash val="solid"/>
            </a:ln>
          </c:spPr>
          <c:marker>
            <c:symbol val="none"/>
          </c:marker>
          <c:cat>
            <c:strRef>
              <c:f>'Summary'!$C$51:$C$61</c:f>
              <c:strCache>
                <c:ptCount val="0"/>
              </c:strCache>
            </c:strRef>
          </c:cat>
          <c:val>
            <c:numRef>
              <c:f>'Summary'!$D$51:$D$61</c:f>
              <c:numCache>
                <c:formatCode>$#,##0;($#,##0);"–"</c:formatCode>
                <c:ptCount val="0"/>
              </c:numCache>
            </c:numRef>
          </c:val>
          <c:smooth val="0"/>
        </c:ser>
        <c:ser>
          <c:idx val="1"/>
          <c:order val="1"/>
          <c:tx>
            <c:v>C Partial</c:v>
          </c:tx>
          <c:spPr>
            <a:ln xmlns:a="http://schemas.openxmlformats.org/drawingml/2006/main" w="19050">
              <a:solidFill>
                <a:srgbClr val="888888"/>
              </a:solidFill>
              <a:prstDash val="dash"/>
            </a:ln>
          </c:spPr>
          <c:marker>
            <c:symbol val="none"/>
          </c:marker>
          <c:cat>
            <c:strRef>
              <c:f>'Summary'!$C$51:$C$61</c:f>
              <c:strCache>
                <c:ptCount val="0"/>
              </c:strCache>
            </c:strRef>
          </c:cat>
          <c:val>
            <c:numRef>
              <c:f>'Summary'!$E$51:$E$61</c:f>
              <c:numCache>
                <c:formatCode>$#,##0;($#,##0);"–"</c:formatCode>
                <c:ptCount val="0"/>
              </c:numCache>
            </c:numRef>
          </c:val>
          <c:smooth val="0"/>
        </c:ser>
        <c:smooth val="0"/>
        <c:axId val="48650112"/>
        <c:axId val="48672768"/>
      </c:lineChart>
      <c:catAx>
        <c:axId val="48650112"/>
        <c:scaling>
          <c:orientation val="minMax"/>
        </c:scaling>
        <c:delete val="0"/>
        <c:axPos val="b"/>
        <c:majorGridlines>
          <c:spPr>
            <a:ln xmlns:a="http://schemas.openxmlformats.org/drawingml/2006/main" w="9525">
              <a:solidFill>
                <a:srgbClr val="CCCCCC"/>
              </a:solidFill>
              <a:prstDash val="dash"/>
            </a:ln>
          </c:spPr>
        </c:majorGridlines>
        <c:numFmt formatCode="General"/>
        <c:majorTickMark val="none"/>
        <c:minorTickMark val="none"/>
        <c:tickLblPos val="nextTo"/>
        <c:txPr>
          <a:bodyPr xmlns:a="http://schemas.openxmlformats.org/drawingml/2006/main" anchorCtr="1"/>
          <a:lstStyle xmlns:a="http://schemas.openxmlformats.org/drawingml/2006/main"/>
          <a:p xmlns:a="http://schemas.openxmlformats.org/drawingml/2006/main">
            <a:pPr>
              <a:defRPr sz="825">
                <a:latin typeface="Times New Roman"/>
                <a:ea typeface="Times New Roman"/>
                <a:cs typeface="Times New Roman"/>
              </a:defRPr>
            </a:pPr>
          </a:p>
        </c:txPr>
        <c:crossAx val="48672768"/>
      </c:catAx>
      <c:valAx>
        <c:axId val="48672768"/>
        <c:scaling>
          <c:orientation val="minMax"/>
        </c:scaling>
        <c:delete val="0"/>
        <c:axPos val="l"/>
        <c:majorGridlines>
          <c:spPr>
            <a:ln xmlns:a="http://schemas.openxmlformats.org/drawingml/2006/main" w="9525">
              <a:solidFill>
                <a:srgbClr val="CCCCCC"/>
              </a:solidFill>
              <a:prstDash val="dash"/>
            </a:ln>
          </c:spPr>
        </c:majorGridlines>
        <c:numFmt formatCode="$0.0,,&quot;M&quot;" sourceLinked="0"/>
        <c:majorTickMark val="none"/>
        <c:minorTickMark val="none"/>
        <c:txPr>
          <a:bodyPr xmlns:a="http://schemas.openxmlformats.org/drawingml/2006/main" anchorCtr="1"/>
          <a:lstStyle xmlns:a="http://schemas.openxmlformats.org/drawingml/2006/main"/>
          <a:p xmlns:a="http://schemas.openxmlformats.org/drawingml/2006/main">
            <a:pPr>
              <a:defRPr sz="900">
                <a:latin typeface="Times New Roman"/>
                <a:ea typeface="Times New Roman"/>
                <a:cs typeface="Times New Roman"/>
              </a:defRPr>
            </a:pPr>
          </a:p>
        </c:txPr>
        <c:crossAx val="48650112"/>
        <c:crossBetween val="between"/>
      </c:valAx>
    </c:plotArea>
    <c:legend>
      <c:legendPos val="b"/>
      <c:overlay val="0"/>
      <c:txPr>
        <a:bodyPr xmlns:a="http://schemas.openxmlformats.org/drawingml/2006/main" anchorCtr="1"/>
        <a:lstStyle xmlns:a="http://schemas.openxmlformats.org/drawingml/2006/main"/>
        <a:p xmlns:a="http://schemas.openxmlformats.org/drawingml/2006/main">
          <a:pPr>
            <a:defRPr sz="900">
              <a:latin typeface="Times New Roman"/>
              <a:ea typeface="Times New Roman"/>
              <a:cs typeface="Times New Roman"/>
            </a:defRPr>
          </a:pPr>
        </a:p>
      </c:txPr>
    </c:legend>
    <c:plotVisOnly val="1"/>
  </c:chart>
  <c:spPr>
    <a:ln xmlns:a="http://schemas.openxmlformats.org/drawingml/2006/main" w="9525">
      <a:solidFill>
        <a:srgbClr val="D9D9D9"/>
      </a:solidFill>
      <a:prstDash val="solid"/>
    </a:ln>
  </c:spPr>
</c:chartSpace>
</file>

<file path=xl/drawings/drawing1.xml><?xml version="1.0" encoding="utf-8"?>
<xdr:wsDr xmlns:xdr="http://schemas.openxmlformats.org/drawingml/2006/spreadsheetDrawing">
  <xdr:twoCellAnchor>
    <xdr:from>
      <xdr:col>2</xdr:col>
      <xdr:colOff>0</xdr:colOff>
      <xdr:row>24</xdr:row>
      <xdr:rowOff>0</xdr:rowOff>
    </xdr:from>
    <xdr:to>
      <xdr:col>6</xdr:col>
      <xdr:colOff>0</xdr:colOff>
      <xdr:row>39</xdr:row>
      <xdr:rowOff>0</xdr:rowOff>
    </xdr:to>
    <xdr:graphicFrame macro="">
      <xdr:nvGraphicFramePr>
        <xdr:cNvPr id="1" name="Chart"/>
        <xdr:cNvGraphicFramePr/>
      </xdr:nvGraphicFramePr>
      <xdr:xfrm>
        <a:off xmlns:a="http://schemas.openxmlformats.org/drawingml/2006/main" x="0" y="0"/>
        <a:ext xmlns:a="http://schemas.openxmlformats.org/drawingml/2006/main" cx="0" cy="0"/>
      </xdr:xfrm>
      <a:graphic xmlns:a="http://schemas.openxmlformats.org/drawingml/2006/main">
        <a:graphicData uri="http://schemas.openxmlformats.org/drawingml/2006/chart">
          <c:chart xmlns:r="http://schemas.openxmlformats.org/officeDocument/2006/relationships" xmlns:c="http://schemas.openxmlformats.org/drawingml/2006/chart" r:id="R86c9e415522946af"/>
        </a:graphicData>
      </a:graphic>
    </xdr:graphicFrame>
    <xdr:clientData/>
  </xdr:twoCellAnchor>
</xdr:wsDr>
</file>

<file path=xl/theme/theme1.xml><?xml version="1.0" encoding="utf-8"?>
<a:theme xmlns:a="http://schemas.openxmlformats.org/drawingml/2006/main" name="ChatGPT">
  <a:themeElements>
    <a:clrScheme name="ChatGPT">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Calibri Light"/>
        <a:ea typeface="Calibri Light"/>
        <a:cs typeface="Calibri Light"/>
      </a:majorFont>
      <a:minorFont>
        <a:latin typeface="Calibri"/>
        <a:ea typeface="Calibri"/>
        <a:cs typeface="Calibri"/>
      </a:minorFont>
    </a:fontScheme>
    <a:fmtScheme name="ChatGPT">
      <a:fillStyleLst>
        <a:solidFill>
          <a:schemeClr val="phClr"/>
        </a:solidFill>
        <a:gradFill>
          <a:gsLst>
            <a:gs pos="0">
              <a:schemeClr val="phClr">
                <a:tint val="67000"/>
                <a:lumMod val="110000"/>
                <a:satMod val="105000"/>
              </a:schemeClr>
            </a:gs>
            <a:gs pos="50000">
              <a:schemeClr val="phClr">
                <a:tint val="73000"/>
                <a:lumMod val="105000"/>
                <a:satMod val="103000"/>
              </a:schemeClr>
            </a:gs>
            <a:gs pos="100000">
              <a:schemeClr val="phClr">
                <a:tint val="81000"/>
                <a:lumMod val="105000"/>
                <a:satMod val="109000"/>
              </a:schemeClr>
            </a:gs>
          </a:gsLst>
          <a:lin ang="5400000" scaled="0"/>
        </a:gradFill>
        <a:gradFill>
          <a:gsLst>
            <a:gs pos="0">
              <a:schemeClr val="phClr">
                <a:tint val="94000"/>
                <a:lumMod val="102000"/>
                <a:satMod val="103000"/>
              </a:schemeClr>
            </a:gs>
            <a:gs pos="50000">
              <a:schemeClr val="phClr">
                <a:shade val="100000"/>
                <a:lumMod val="100000"/>
                <a:satMod val="110000"/>
              </a:schemeClr>
            </a:gs>
            <a:gs pos="100000">
              <a:schemeClr val="phClr">
                <a:shade val="78000"/>
                <a:lumMod val="99000"/>
                <a:satMod val="120000"/>
              </a:schemeClr>
            </a:gs>
          </a:gsLst>
          <a:lin ang="5400000" scaled="0"/>
        </a:gradFill>
      </a:fillStyleLst>
      <a:lnStyleLst>
        <a:ln w="12700">
          <a:solidFill>
            <a:schemeClr val="phClr"/>
          </a:solidFill>
          <a:prstDash val="solid"/>
        </a:ln>
        <a:ln w="19050">
          <a:solidFill>
            <a:schemeClr val="phClr"/>
          </a:solidFill>
          <a:prstDash val="solid"/>
        </a:ln>
        <a:ln w="25400">
          <a:solidFill>
            <a:schemeClr val="phClr"/>
          </a:solidFill>
          <a:prstDash val="solid"/>
        </a:ln>
      </a:lnStyleLst>
      <a:effectStyleLst>
        <a:effectStyle>
          <a:effectLst/>
        </a:effectStyle>
        <a:effectStyle>
          <a:effectLst/>
        </a:effectStyle>
        <a:effectStyle>
          <a:effectLst>
            <a:outerShdw blurRad="57150" dist="19050" dir="5400000">
              <a:srgbClr val="000000">
                <a:alpha val="63000"/>
              </a:srgbClr>
            </a:outerShdw>
          </a:effectLst>
        </a:effectStyle>
      </a:effectStyleLst>
      <a:bgFillStyleLst>
        <a:solidFill>
          <a:schemeClr val="phClr"/>
        </a:solidFill>
        <a:solidFill>
          <a:schemeClr val="phClr">
            <a:tint val="95000"/>
            <a:satMod val="170000"/>
          </a:schemeClr>
        </a:solidFill>
        <a:gradFill>
          <a:gsLst>
            <a:gs pos="0">
              <a:schemeClr val="phClr">
                <a:tint val="93000"/>
                <a:shade val="98000"/>
                <a:lumMod val="102000"/>
                <a:satMod val="150000"/>
              </a:schemeClr>
            </a:gs>
            <a:gs pos="50000">
              <a:schemeClr val="phClr">
                <a:tint val="98000"/>
                <a:shade val="90000"/>
                <a:lumMod val="103000"/>
                <a:satMod val="130000"/>
              </a:schemeClr>
            </a:gs>
            <a:gs pos="100000">
              <a:schemeClr val="phClr">
                <a:shade val="63000"/>
                <a:satMod val="120000"/>
              </a:schemeClr>
            </a:gs>
          </a:gsLst>
          <a:lin ang="5400000" scaled="0"/>
        </a:gradFill>
      </a:bgFillStyleLst>
    </a:fmtScheme>
  </a:themeElements>
</a:theme>
</file>

<file path=xl/worksheets/_rels/sheet1.xml.rels>&#65279;<?xml version="1.0" encoding="utf-8"?><Relationships xmlns="http://schemas.openxmlformats.org/package/2006/relationships"><Relationship Type="http://schemas.openxmlformats.org/officeDocument/2006/relationships/drawing" Target="/xl/drawings/drawing1.xml" Id="R422e4e4c0be24f96" /></Relationships>
</file>

<file path=xl/worksheets/sheet1.xml><?xml version="1.0" encoding="utf-8"?>
<x:worksheet xmlns:x="http://schemas.openxmlformats.org/spreadsheetml/2006/main">
  <x:sheetPr>
    <x:tabColor rgb="FF454545"/>
    <x:pageSetUpPr fitToPage="1"/>
  </x:sheetPr>
  <x:sheetViews>
    <x:sheetView showGridLines="0" workbookViewId="0"/>
  </x:sheetViews>
  <x:sheetFormatPr defaultRowHeight="15"/>
  <x:cols>
    <x:col min="1" max="1" width="3" hidden="0" customWidth="1"/>
    <x:col min="2" max="2" width="3" hidden="0" customWidth="1"/>
    <x:col min="3" max="3" width="39" hidden="0" customWidth="1"/>
    <x:col min="4" max="4" width="22" hidden="0" customWidth="1"/>
    <x:col min="5" max="5" width="22" hidden="0" customWidth="1"/>
    <x:col min="6" max="6" width="22" hidden="0" customWidth="1"/>
    <x:col min="7" max="7" width="18" hidden="0" customWidth="1"/>
    <x:col min="8" max="8" width="18" hidden="0" customWidth="1"/>
    <x:col min="9" max="9" width="18" hidden="0" customWidth="1"/>
    <x:col min="10" max="10" width="18" hidden="0" customWidth="1"/>
    <x:col min="11" max="11" width="18" hidden="0" customWidth="1"/>
  </x:cols>
  <x:sheetData>
    <x:row r="1" ht="18" customHeight="1">
      <x:c r="A1" s="2"/>
      <x:c r="B1" s="2"/>
      <x:c r="C1" s="2"/>
      <x:c r="D1" s="2"/>
      <x:c r="E1" s="2"/>
      <x:c r="F1" s="2"/>
      <x:c r="G1" s="2"/>
      <x:c r="H1" s="2"/>
      <x:c r="I1" s="2"/>
      <x:c r="J1" s="2"/>
      <x:c r="K1" s="2"/>
    </x:row>
    <x:row r="2" ht="28" customHeight="1">
      <x:c r="A2" s="2"/>
      <x:c r="B2" s="2"/>
      <x:c r="C2" s="3" t="str">
        <x:v>Manhattan HVAC investment study</x:v>
      </x:c>
      <x:c r="D2" s="2"/>
      <x:c r="E2" s="2"/>
      <x:c r="F2" s="2"/>
      <x:c r="G2" s="2"/>
      <x:c r="H2" s="2"/>
      <x:c r="I2" s="2"/>
      <x:c r="J2" s="2"/>
      <x:c r="K2" s="2"/>
    </x:row>
    <x:row r="3" ht="32" customHeight="1">
      <x:c r="A3" s="2"/>
      <x:c r="B3" s="2"/>
      <x:c r="C3" s="58" t="str">
        <x:v>Mohamed Saffiddine | CUNY City Tech | Independent engineering and finance project</x:v>
      </x:c>
      <x:c r="D3" s="55"/>
      <x:c r="E3" s="55"/>
      <x:c r="F3" s="55"/>
      <x:c r="G3" s="2"/>
      <x:c r="H3" s="2"/>
      <x:c r="I3" s="2"/>
      <x:c r="J3" s="2"/>
      <x:c r="K3" s="2"/>
    </x:row>
    <x:row r="4" ht="18" customHeight="1">
      <x:c r="A4" s="2"/>
      <x:c r="B4" s="2"/>
      <x:c r="C4" s="80" t="str">
        <x:f>IF('Assumptions'!$G$6="Inputs valid",IF('Assumptions'!G87="Weights valid","",'Assumptions'!G87),'Assumptions'!G6)</x:f>
      </x:c>
      <x:c r="D4" s="2"/>
      <x:c r="E4" s="2"/>
      <x:c r="F4" s="2"/>
      <x:c r="G4" s="2"/>
      <x:c r="H4" s="2"/>
      <x:c r="I4" s="2"/>
      <x:c r="J4" s="2"/>
      <x:c r="K4" s="2"/>
    </x:row>
    <x:row r="5" ht="18" customHeight="1">
      <x:c r="A5" s="2"/>
      <x:c r="B5" s="2"/>
      <x:c r="C5" s="2" t="str">
        <x:v>Selected scenario</x:v>
      </x:c>
      <x:c r="D5" s="56" t="str">
        <x:f>'Assumptions'!E6</x:f>
        <x:v>Base</x:v>
      </x:c>
      <x:c r="E5" s="2"/>
      <x:c r="F5" s="2"/>
      <x:c r="G5" s="2"/>
      <x:c r="H5" s="2"/>
      <x:c r="I5" s="2"/>
      <x:c r="J5" s="2"/>
      <x:c r="K5" s="2"/>
    </x:row>
    <x:row r="6" ht="18" customHeight="1">
      <x:c r="A6" s="2"/>
      <x:c r="B6" s="2"/>
      <x:c r="C6" s="2"/>
      <x:c r="D6" s="2"/>
      <x:c r="E6" s="2"/>
      <x:c r="F6" s="2"/>
      <x:c r="G6" s="2"/>
      <x:c r="H6" s="2"/>
      <x:c r="I6" s="2"/>
      <x:c r="J6" s="2"/>
      <x:c r="K6" s="2"/>
    </x:row>
    <x:row r="7" ht="22" customHeight="1">
      <x:c r="A7" s="2"/>
      <x:c r="B7" s="2"/>
      <x:c r="C7" s="11" t="str">
        <x:v>10-year comparison</x:v>
      </x:c>
      <x:c r="D7" s="11" t="str">
        <x:v>A Existing</x:v>
      </x:c>
      <x:c r="E7" s="11" t="str">
        <x:v>B Full</x:v>
      </x:c>
      <x:c r="F7" s="11" t="str">
        <x:v>C Partial</x:v>
      </x:c>
      <x:c r="G7" s="2"/>
      <x:c r="H7" s="2"/>
      <x:c r="I7" s="2"/>
      <x:c r="J7" s="2"/>
      <x:c r="K7" s="2"/>
    </x:row>
    <x:row r="8" ht="22" customHeight="1">
      <x:c r="A8" s="2"/>
      <x:c r="B8" s="2"/>
      <x:c r="C8" s="2" t="str">
        <x:v>Initial project funding</x:v>
      </x:c>
      <x:c r="D8" s="88" t="n">
        <x:v>0</x:v>
      </x:c>
      <x:c r="E8" s="88" t="n">
        <x:f>IF('Assumptions'!$G$6="Inputs valid",'Cash Flow'!E87,"n.a.")</x:f>
        <x:v>5000000</x:v>
      </x:c>
      <x:c r="F8" s="88" t="n">
        <x:f>IF('Assumptions'!$G$6="Inputs valid",'Cash Flow'!F87,"n.a.")</x:f>
        <x:v>1669000</x:v>
      </x:c>
      <x:c r="G8" s="2"/>
      <x:c r="H8" s="2"/>
      <x:c r="I8" s="2"/>
      <x:c r="J8" s="2"/>
      <x:c r="K8" s="2"/>
    </x:row>
    <x:row r="9" ht="22" customHeight="1">
      <x:c r="A9" s="2"/>
      <x:c r="B9" s="2"/>
      <x:c r="C9" s="2" t="str">
        <x:v>Year 1 operating savings</x:v>
      </x:c>
      <x:c r="D9" s="88" t="n">
        <x:v>0</x:v>
      </x:c>
      <x:c r="E9" s="88" t="n">
        <x:f>IF('Assumptions'!$G$6="Inputs valid",'Cash Flow'!E88,"n.a.")</x:f>
        <x:v>399440</x:v>
      </x:c>
      <x:c r="F9" s="88" t="n">
        <x:f>IF('Assumptions'!$G$6="Inputs valid",'Cash Flow'!F88,"n.a.")</x:f>
        <x:v>190400</x:v>
      </x:c>
      <x:c r="G9" s="2"/>
      <x:c r="H9" s="2"/>
      <x:c r="I9" s="2"/>
      <x:c r="J9" s="2"/>
      <x:c r="K9" s="2"/>
    </x:row>
    <x:row r="10" ht="22" customHeight="1">
      <x:c r="A10" s="2"/>
      <x:c r="B10" s="2"/>
      <x:c r="C10" s="2" t="str">
        <x:v>Dated NPV versus A</x:v>
      </x:c>
      <x:c r="D10" s="88" t="n">
        <x:v>0</x:v>
      </x:c>
      <x:c r="E10" s="88" t="n">
        <x:f>IF('Assumptions'!$G$6="Inputs valid",'Cash Flow'!E89,"n.a.")</x:f>
        <x:v>-1754620.454588824</x:v>
      </x:c>
      <x:c r="F10" s="88" t="n">
        <x:f>IF('Assumptions'!$G$6="Inputs valid",'Cash Flow'!F89,"n.a.")</x:f>
        <x:v>68530.6396530481</x:v>
      </x:c>
      <x:c r="G10" s="2"/>
      <x:c r="H10" s="2"/>
      <x:c r="I10" s="2"/>
      <x:c r="J10" s="2"/>
      <x:c r="K10" s="2"/>
    </x:row>
    <x:row r="11" ht="22" customHeight="1">
      <x:c r="A11" s="2"/>
      <x:c r="B11" s="2"/>
      <x:c r="C11" s="2" t="str">
        <x:v>Dated IRR</x:v>
      </x:c>
      <x:c r="D11" s="89" t="str">
        <x:v>n.a.</x:v>
      </x:c>
      <x:c r="E11" s="89" t="n">
        <x:f>IF('Assumptions'!$G$6="Inputs valid",'Cash Flow'!E90,"n.a.")</x:f>
        <x:v>-0.0038264831870484595</x:v>
      </x:c>
      <x:c r="F11" s="89" t="n">
        <x:f>IF('Assumptions'!$G$6="Inputs valid",'Cash Flow'!F90,"n.a.")</x:f>
        <x:v>0.09444268528565532</x:v>
      </x:c>
      <x:c r="G11" s="2"/>
      <x:c r="H11" s="2"/>
      <x:c r="I11" s="2"/>
      <x:c r="J11" s="2"/>
      <x:c r="K11" s="2"/>
    </x:row>
    <x:row r="12" ht="22" customHeight="1">
      <x:c r="A12" s="2"/>
      <x:c r="B12" s="2"/>
      <x:c r="C12" s="2" t="str">
        <x:v>10-year net cash ROI</x:v>
      </x:c>
      <x:c r="D12" s="89" t="str">
        <x:v>n.a.</x:v>
      </x:c>
      <x:c r="E12" s="89" t="n">
        <x:f>IF('Assumptions'!$G$6="Inputs valid",'Cash Flow'!E91,"n.a.")</x:f>
        <x:v>-0.020313106499029416</x:v>
      </x:c>
      <x:c r="F12" s="89" t="n">
        <x:f>IF('Assumptions'!$G$6="Inputs valid",'Cash Flow'!F91,"n.a.")</x:f>
        <x:v>0.5626905487106717</x:v>
      </x:c>
      <x:c r="G12" s="2"/>
      <x:c r="H12" s="2"/>
      <x:c r="I12" s="2"/>
      <x:c r="J12" s="2"/>
      <x:c r="K12" s="2"/>
    </x:row>
    <x:row r="13" ht="34" customHeight="1">
      <x:c r="A13" s="2"/>
      <x:c r="B13" s="2"/>
      <x:c r="C13" s="55" t="str">
        <x:v>Simple payback: interpolated after-tax cash flow (years)</x:v>
      </x:c>
      <x:c r="D13" s="90" t="str">
        <x:v>n.a.</x:v>
      </x:c>
      <x:c r="E13" s="90" t="str">
        <x:f>IF('Assumptions'!$G$6="Inputs valid",'Cash Flow'!E92,"n.a.")</x:f>
        <x:v>Not within 10 years</x:v>
      </x:c>
      <x:c r="F13" s="90" t="n">
        <x:f>IF('Assumptions'!$G$6="Inputs valid",'Cash Flow'!F92,"n.a.")</x:f>
        <x:v>6.509599896464388</x:v>
      </x:c>
      <x:c r="G13" s="2"/>
      <x:c r="H13" s="2"/>
      <x:c r="I13" s="2"/>
      <x:c r="J13" s="2"/>
      <x:c r="K13" s="2"/>
    </x:row>
    <x:row r="14" ht="34" customHeight="1">
      <x:c r="A14" s="2"/>
      <x:c r="B14" s="2"/>
      <x:c r="C14" s="55" t="str">
        <x:v>Discounted payback: interpolated after-tax cash flow (years)</x:v>
      </x:c>
      <x:c r="D14" s="90" t="str">
        <x:v>n.a.</x:v>
      </x:c>
      <x:c r="E14" s="90" t="str">
        <x:f>IF('Assumptions'!$G$6="Inputs valid",'Cash Flow'!E93,"n.a.")</x:f>
        <x:v>Not within 10 years</x:v>
      </x:c>
      <x:c r="F14" s="90" t="n">
        <x:f>IF('Assumptions'!$G$6="Inputs valid",'Cash Flow'!F93,"n.a.")</x:f>
        <x:v>9.118548802393022</x:v>
      </x:c>
      <x:c r="G14" s="2"/>
      <x:c r="H14" s="2"/>
      <x:c r="I14" s="2"/>
      <x:c r="J14" s="2"/>
      <x:c r="K14" s="2"/>
    </x:row>
    <x:row r="15" ht="22" customHeight="1">
      <x:c r="A15" s="2"/>
      <x:c r="B15" s="2"/>
      <x:c r="C15" s="2" t="str">
        <x:v>PV of owner costs</x:v>
      </x:c>
      <x:c r="D15" s="88" t="n">
        <x:f>IF('Assumptions'!$G$6="Inputs valid",-XNPV('Assumptions'!E80,'Cash Flow'!D16:N16,'Cash Flow'!D8:N8),"n.a.")</x:f>
        <x:v>6060650.572199042</x:v>
      </x:c>
      <x:c r="E15" s="88" t="n">
        <x:f>IF('Assumptions'!$G$6="Inputs valid",'Cash Flow'!E95,"n.a.")</x:f>
        <x:v>7815271.026787866</x:v>
      </x:c>
      <x:c r="F15" s="88" t="n">
        <x:f>IF('Assumptions'!$G$6="Inputs valid",'Cash Flow'!F95,"n.a.")</x:f>
        <x:v>5992119.9325459935</x:v>
      </x:c>
      <x:c r="G15" s="2"/>
      <x:c r="H15" s="2"/>
      <x:c r="I15" s="2"/>
      <x:c r="J15" s="2"/>
      <x:c r="K15" s="2"/>
    </x:row>
    <x:row r="16" ht="22" customHeight="1">
      <x:c r="A16" s="2"/>
      <x:c r="B16" s="2"/>
      <x:c r="C16" s="2" t="str">
        <x:v>HVAC electricity reduction</x:v>
      </x:c>
      <x:c r="D16" s="89" t="n">
        <x:v>0</x:v>
      </x:c>
      <x:c r="E16" s="89" t="n">
        <x:f>IF('Assumptions'!$G$6="Inputs valid",'Energy'!G22,"n.a.")</x:f>
        <x:v>0.37693445046821095</x:v>
      </x:c>
      <x:c r="F16" s="89" t="n">
        <x:f>IF('Assumptions'!$G$6="Inputs valid",'Energy'!H22,"n.a.")</x:f>
        <x:v>0.15672745194677182</x:v>
      </x:c>
      <x:c r="G16" s="2"/>
      <x:c r="H16" s="2"/>
      <x:c r="I16" s="2"/>
      <x:c r="J16" s="2"/>
      <x:c r="K16" s="2"/>
    </x:row>
    <x:row r="17" ht="18" customHeight="1">
      <x:c r="A17" s="2"/>
      <x:c r="B17" s="2"/>
      <x:c r="C17" s="2"/>
      <x:c r="D17" s="84"/>
      <x:c r="E17" s="84"/>
      <x:c r="F17" s="84"/>
      <x:c r="G17" s="2"/>
      <x:c r="H17" s="2"/>
      <x:c r="I17" s="2"/>
      <x:c r="J17" s="2"/>
      <x:c r="K17" s="2"/>
    </x:row>
    <x:row r="18" ht="18" customHeight="1">
      <x:c r="A18" s="2"/>
      <x:c r="B18" s="2"/>
      <x:c r="C18" s="18" t="str">
        <x:v>Investment interpretation</x:v>
      </x:c>
      <x:c r="D18" s="85"/>
      <x:c r="E18" s="85"/>
      <x:c r="F18" s="85"/>
      <x:c r="G18" s="59"/>
      <x:c r="H18" s="59"/>
      <x:c r="I18" s="59"/>
      <x:c r="J18" s="59"/>
      <x:c r="K18" s="59"/>
    </x:row>
    <x:row r="19" ht="18" customHeight="1">
      <x:c r="A19" s="2"/>
      <x:c r="B19" s="2"/>
      <x:c r="C19" s="2" t="str">
        <x:v>Highest NPV at selected assumptions</x:v>
      </x:c>
      <x:c r="D19" s="84"/>
      <x:c r="E19" s="84" t="str">
        <x:f>IF('Assumptions'!$G$6="Inputs valid",IF(MAX(E10,F10)&lt;=0,"A Existing",IF(E10&gt;F10,"B Full","C Partial")),"INPUT ERROR")</x:f>
        <x:v>C Partial</x:v>
      </x:c>
      <x:c r="F19" s="84"/>
      <x:c r="G19" s="2"/>
      <x:c r="H19" s="2"/>
      <x:c r="I19" s="2"/>
      <x:c r="J19" s="2"/>
      <x:c r="K19" s="2"/>
    </x:row>
    <x:row r="20" ht="18" customHeight="1">
      <x:c r="A20" s="2"/>
      <x:c r="B20" s="2"/>
      <x:c r="C20" s="2" t="str">
        <x:v>Subjectively weighted NPV</x:v>
      </x:c>
      <x:c r="D20" s="84"/>
      <x:c r="E20" s="88" t="n">
        <x:f>'Scenarios'!E12</x:f>
        <x:v>-2152733.650435672</x:v>
      </x:c>
      <x:c r="F20" s="88" t="n">
        <x:f>'Scenarios'!F12</x:f>
        <x:v>-92800.00696987248</x:v>
      </x:c>
      <x:c r="G20" s="2"/>
      <x:c r="H20" s="2"/>
      <x:c r="I20" s="2"/>
      <x:c r="J20" s="2"/>
      <x:c r="K20" s="2"/>
    </x:row>
    <x:row r="21" ht="18" customHeight="1">
      <x:c r="A21" s="2"/>
      <x:c r="B21" s="2"/>
      <x:c r="C21" s="2"/>
      <x:c r="D21" s="84"/>
      <x:c r="E21" s="84"/>
      <x:c r="F21" s="84"/>
      <x:c r="G21" s="2"/>
      <x:c r="H21" s="2"/>
      <x:c r="I21" s="2"/>
      <x:c r="J21" s="2"/>
      <x:c r="K21" s="2"/>
    </x:row>
    <x:row r="22" ht="32" customHeight="1">
      <x:c r="A22" s="2"/>
      <x:c r="B22" s="2"/>
      <x:c r="C22" s="73" t="str">
        <x:f>IF('Assumptions'!$G$6="Inputs valid",IF(MAX(E10,F10)&lt;=0,"Neither upgrade adds value within the 10-year horizon under this scenario.",IF(F10&gt;=E10,"Partial upgrade has the higher NPV. Validate costs, reliability and scope before an award.","Full upgrade has the higher NPV. Validate costs, reliability and scope before an award.")),"Invalid selected inputs. Correct Assumptions before using the investment results.")</x:f>
        <x:v>Partial upgrade has the higher NPV. Validate costs, reliability and scope before an award.</x:v>
      </x:c>
      <x:c r="D22" s="86"/>
      <x:c r="E22" s="86"/>
      <x:c r="F22" s="86"/>
      <x:c r="G22" s="2"/>
      <x:c r="H22" s="2"/>
      <x:c r="I22" s="2"/>
      <x:c r="J22" s="2"/>
      <x:c r="K22" s="2"/>
    </x:row>
    <x:row r="23" ht="32" customHeight="1">
      <x:c r="A23" s="2"/>
      <x:c r="B23" s="2"/>
      <x:c r="C23" s="58" t="str">
        <x:v>The 10-year cutoff excludes remaining service value and future tax shields. It is not a lifetime appraisal.</x:v>
      </x:c>
      <x:c r="D23" s="55"/>
      <x:c r="E23" s="55"/>
      <x:c r="F23" s="55"/>
      <x:c r="G23" s="2"/>
      <x:c r="H23" s="2"/>
      <x:c r="I23" s="2"/>
      <x:c r="J23" s="2"/>
      <x:c r="K23" s="2"/>
    </x:row>
    <x:row r="24" ht="18" customHeight="1">
      <x:c r="A24" s="2"/>
      <x:c r="B24" s="2"/>
      <x:c r="C24" s="2"/>
      <x:c r="D24" s="2"/>
      <x:c r="E24" s="2"/>
      <x:c r="F24" s="2"/>
      <x:c r="G24" s="2"/>
      <x:c r="H24" s="2"/>
      <x:c r="I24" s="2"/>
      <x:c r="J24" s="2"/>
      <x:c r="K24" s="2"/>
    </x:row>
    <x:row r="25" ht="18" customHeight="1">
      <x:c r="A25" s="2"/>
      <x:c r="B25" s="2"/>
      <x:c r="C25" s="2"/>
      <x:c r="D25" s="2"/>
      <x:c r="E25" s="2"/>
      <x:c r="F25" s="2"/>
      <x:c r="G25" s="2"/>
      <x:c r="H25" s="2"/>
      <x:c r="I25" s="2"/>
      <x:c r="J25" s="2"/>
      <x:c r="K25" s="2"/>
    </x:row>
    <x:row r="26" ht="18" customHeight="1">
      <x:c r="A26" s="2"/>
      <x:c r="B26" s="2"/>
      <x:c r="C26" s="2"/>
      <x:c r="D26" s="2"/>
      <x:c r="E26" s="2"/>
      <x:c r="F26" s="2"/>
      <x:c r="G26" s="2"/>
      <x:c r="H26" s="2"/>
      <x:c r="I26" s="2"/>
      <x:c r="J26" s="2"/>
      <x:c r="K26" s="2"/>
    </x:row>
    <x:row r="27" ht="18" customHeight="1">
      <x:c r="A27" s="2"/>
      <x:c r="B27" s="2"/>
      <x:c r="C27" s="2"/>
      <x:c r="D27" s="2"/>
      <x:c r="E27" s="2"/>
      <x:c r="F27" s="2"/>
      <x:c r="G27" s="2"/>
      <x:c r="H27" s="2"/>
      <x:c r="I27" s="2"/>
      <x:c r="J27" s="2"/>
      <x:c r="K27" s="2"/>
    </x:row>
    <x:row r="28" ht="18" customHeight="1">
      <x:c r="A28" s="2"/>
      <x:c r="B28" s="2"/>
      <x:c r="C28" s="2"/>
      <x:c r="D28" s="2"/>
      <x:c r="E28" s="2"/>
      <x:c r="F28" s="2"/>
      <x:c r="G28" s="2"/>
      <x:c r="H28" s="2"/>
      <x:c r="I28" s="2"/>
      <x:c r="J28" s="2"/>
      <x:c r="K28" s="2"/>
    </x:row>
    <x:row r="29" ht="18" customHeight="1">
      <x:c r="A29" s="2"/>
      <x:c r="B29" s="2"/>
      <x:c r="C29" s="2"/>
      <x:c r="D29" s="2"/>
      <x:c r="E29" s="2"/>
      <x:c r="F29" s="2"/>
      <x:c r="G29" s="2"/>
      <x:c r="H29" s="2"/>
      <x:c r="I29" s="2"/>
      <x:c r="J29" s="2"/>
      <x:c r="K29" s="2"/>
    </x:row>
    <x:row r="30" ht="18" customHeight="1">
      <x:c r="A30" s="2"/>
      <x:c r="B30" s="2"/>
      <x:c r="C30" s="2"/>
      <x:c r="D30" s="2"/>
      <x:c r="E30" s="2"/>
      <x:c r="F30" s="2"/>
      <x:c r="G30" s="2"/>
      <x:c r="H30" s="2"/>
      <x:c r="I30" s="2"/>
      <x:c r="J30" s="2"/>
      <x:c r="K30" s="2"/>
    </x:row>
    <x:row r="31" ht="18" customHeight="1">
      <x:c r="A31" s="2"/>
      <x:c r="B31" s="2"/>
      <x:c r="C31" s="2"/>
      <x:c r="D31" s="2"/>
      <x:c r="E31" s="2"/>
      <x:c r="F31" s="2"/>
      <x:c r="G31" s="2"/>
      <x:c r="H31" s="2"/>
      <x:c r="I31" s="2"/>
      <x:c r="J31" s="2"/>
      <x:c r="K31" s="2"/>
    </x:row>
    <x:row r="32" ht="18" customHeight="1">
      <x:c r="A32" s="2"/>
      <x:c r="B32" s="2"/>
      <x:c r="C32" s="2"/>
      <x:c r="D32" s="2"/>
      <x:c r="E32" s="2"/>
      <x:c r="F32" s="2"/>
      <x:c r="G32" s="2"/>
      <x:c r="H32" s="2"/>
      <x:c r="I32" s="2"/>
      <x:c r="J32" s="2"/>
      <x:c r="K32" s="2"/>
    </x:row>
    <x:row r="33" ht="18" customHeight="1">
      <x:c r="A33" s="2"/>
      <x:c r="B33" s="2"/>
      <x:c r="C33" s="2"/>
      <x:c r="D33" s="2"/>
      <x:c r="E33" s="2"/>
      <x:c r="F33" s="2"/>
      <x:c r="G33" s="2"/>
      <x:c r="H33" s="2"/>
      <x:c r="I33" s="2"/>
      <x:c r="J33" s="2"/>
      <x:c r="K33" s="2"/>
    </x:row>
    <x:row r="34" ht="18" customHeight="1">
      <x:c r="A34" s="2"/>
      <x:c r="B34" s="2"/>
      <x:c r="C34" s="2"/>
      <x:c r="D34" s="2"/>
      <x:c r="E34" s="2"/>
      <x:c r="F34" s="2"/>
      <x:c r="G34" s="2"/>
      <x:c r="H34" s="2"/>
      <x:c r="I34" s="2"/>
      <x:c r="J34" s="2"/>
      <x:c r="K34" s="2"/>
    </x:row>
    <x:row r="35" ht="18" customHeight="1">
      <x:c r="A35" s="2"/>
      <x:c r="B35" s="2"/>
      <x:c r="C35" s="2"/>
      <x:c r="D35" s="2"/>
      <x:c r="E35" s="2"/>
      <x:c r="F35" s="2"/>
      <x:c r="G35" s="2"/>
      <x:c r="H35" s="2"/>
      <x:c r="I35" s="2"/>
      <x:c r="J35" s="2"/>
      <x:c r="K35" s="2"/>
    </x:row>
    <x:row r="36" ht="18" customHeight="1">
      <x:c r="A36" s="2"/>
      <x:c r="B36" s="2"/>
      <x:c r="C36" s="2"/>
      <x:c r="D36" s="2"/>
      <x:c r="E36" s="2"/>
      <x:c r="F36" s="2"/>
      <x:c r="G36" s="2"/>
      <x:c r="H36" s="2"/>
      <x:c r="I36" s="2"/>
      <x:c r="J36" s="2"/>
      <x:c r="K36" s="2"/>
    </x:row>
    <x:row r="37" ht="18" customHeight="1">
      <x:c r="A37" s="2"/>
      <x:c r="B37" s="2"/>
      <x:c r="C37" s="2"/>
      <x:c r="D37" s="2"/>
      <x:c r="E37" s="2"/>
      <x:c r="F37" s="2"/>
      <x:c r="G37" s="2"/>
      <x:c r="H37" s="2"/>
      <x:c r="I37" s="2"/>
      <x:c r="J37" s="2"/>
      <x:c r="K37" s="2"/>
    </x:row>
    <x:row r="38" ht="18" customHeight="1">
      <x:c r="A38" s="2"/>
      <x:c r="B38" s="2"/>
      <x:c r="C38" s="2"/>
      <x:c r="D38" s="2"/>
      <x:c r="E38" s="2"/>
      <x:c r="F38" s="2"/>
      <x:c r="G38" s="2"/>
      <x:c r="H38" s="2"/>
      <x:c r="I38" s="2"/>
      <x:c r="J38" s="2"/>
      <x:c r="K38" s="2"/>
    </x:row>
    <x:row r="39" ht="18" customHeight="1">
      <x:c r="A39" s="2"/>
      <x:c r="B39" s="2"/>
      <x:c r="C39" s="2"/>
      <x:c r="D39" s="2"/>
      <x:c r="E39" s="2"/>
      <x:c r="F39" s="2"/>
      <x:c r="G39" s="2"/>
      <x:c r="H39" s="2"/>
      <x:c r="I39" s="2"/>
      <x:c r="J39" s="2"/>
      <x:c r="K39" s="2"/>
    </x:row>
    <x:row r="40" ht="18" customHeight="1">
      <x:c r="A40" s="2"/>
      <x:c r="B40" s="2"/>
      <x:c r="C40" s="2"/>
      <x:c r="D40" s="2"/>
      <x:c r="E40" s="2"/>
      <x:c r="F40" s="2"/>
      <x:c r="G40" s="2"/>
      <x:c r="H40" s="2"/>
      <x:c r="I40" s="2"/>
      <x:c r="J40" s="2"/>
      <x:c r="K40" s="2"/>
    </x:row>
    <x:row r="41" ht="18" customHeight="1">
      <x:c r="A41" s="2"/>
      <x:c r="B41" s="2"/>
      <x:c r="C41" s="18" t="str">
        <x:v>Start here</x:v>
      </x:c>
      <x:c r="D41" s="18"/>
      <x:c r="E41" s="18"/>
      <x:c r="F41" s="18"/>
      <x:c r="G41" s="59"/>
      <x:c r="H41" s="59"/>
      <x:c r="I41" s="59"/>
      <x:c r="J41" s="59"/>
      <x:c r="K41" s="59"/>
    </x:row>
    <x:row r="42" ht="26" customHeight="1">
      <x:c r="A42" s="2"/>
      <x:c r="B42" s="2"/>
      <x:c r="C42" s="55" t="str">
        <x:v>1. Change Assumptions!E5 to 1 (Base), 2 (Optimistic) or 3 (Downside).</x:v>
      </x:c>
      <x:c r="D42" s="55"/>
      <x:c r="E42" s="55"/>
      <x:c r="F42" s="55"/>
      <x:c r="G42" s="2"/>
      <x:c r="H42" s="2"/>
      <x:c r="I42" s="2"/>
      <x:c r="J42" s="2"/>
      <x:c r="K42" s="2"/>
    </x:row>
    <x:row r="43" ht="32" customHeight="1">
      <x:c r="A43" s="2"/>
      <x:c r="B43" s="2"/>
      <x:c r="C43" s="55" t="str">
        <x:v>2. Edit the blue inputs. Follow CapEx → Energy → Tax → Cash Flow to understand the calculation.</x:v>
      </x:c>
      <x:c r="D43" s="55"/>
      <x:c r="E43" s="55"/>
      <x:c r="F43" s="55"/>
      <x:c r="G43" s="2"/>
      <x:c r="H43" s="2"/>
      <x:c r="I43" s="2"/>
      <x:c r="J43" s="2"/>
      <x:c r="K43" s="2"/>
    </x:row>
    <x:row r="44" ht="26" customHeight="1">
      <x:c r="A44" s="2"/>
      <x:c r="B44" s="2"/>
      <x:c r="C44" s="55" t="str">
        <x:v>3. Review Scenarios and Audit. Replace planning estimates with documented evidence before presenting.</x:v>
      </x:c>
      <x:c r="D44" s="55"/>
      <x:c r="E44" s="55"/>
      <x:c r="F44" s="55"/>
      <x:c r="G44" s="2"/>
      <x:c r="H44" s="2"/>
      <x:c r="I44" s="2"/>
      <x:c r="J44" s="2"/>
      <x:c r="K44" s="2"/>
    </x:row>
    <x:row r="45" ht="18" customHeight="1">
      <x:c r="A45" s="2"/>
      <x:c r="B45" s="2"/>
      <x:c r="C45" s="77" t="str">
        <x:v>Base C recovers at Years 7 / 10 if cash arrives only at year-end (simple / discounted).</x:v>
      </x:c>
      <x:c r="D45" s="2"/>
      <x:c r="E45" s="2"/>
      <x:c r="F45" s="2"/>
      <x:c r="G45" s="2"/>
      <x:c r="H45" s="2"/>
      <x:c r="I45" s="2"/>
      <x:c r="J45" s="2"/>
      <x:c r="K45" s="2"/>
    </x:row>
    <x:row r="46" ht="32" customHeight="1">
      <x:c r="A46" s="2"/>
      <x:c r="B46" s="2"/>
      <x:c r="C46" s="76" t="str">
        <x:v>Payback interpolates the first after-tax cumulative crossing; it is not CapEx / Year 1 savings.</x:v>
      </x:c>
      <x:c r="D46" s="55"/>
      <x:c r="E46" s="55"/>
      <x:c r="F46" s="55"/>
      <x:c r="G46" s="2"/>
      <x:c r="H46" s="2"/>
      <x:c r="I46" s="2"/>
      <x:c r="J46" s="2"/>
      <x:c r="K46" s="2"/>
    </x:row>
    <x:row r="47" ht="18" customHeight="1">
      <x:c r="A47" s="2"/>
      <x:c r="B47" s="2"/>
      <x:c r="C47" s="2"/>
      <x:c r="D47" s="2"/>
      <x:c r="E47" s="2"/>
      <x:c r="F47" s="2"/>
      <x:c r="G47" s="2"/>
      <x:c r="H47" s="2"/>
      <x:c r="I47" s="2"/>
      <x:c r="J47" s="2"/>
      <x:c r="K47" s="2"/>
    </x:row>
    <x:row r="48" ht="18" customHeight="1">
      <x:c r="A48" s="2"/>
      <x:c r="B48" s="2"/>
      <x:c r="C48" s="2"/>
      <x:c r="D48" s="2"/>
      <x:c r="E48" s="2"/>
      <x:c r="F48" s="2"/>
      <x:c r="G48" s="2"/>
      <x:c r="H48" s="2"/>
      <x:c r="I48" s="2"/>
      <x:c r="J48" s="2"/>
      <x:c r="K48" s="2"/>
    </x:row>
    <x:row r="49" ht="23" customHeight="1">
      <x:c r="A49" s="2"/>
      <x:c r="B49" s="2"/>
      <x:c r="C49" s="2"/>
      <x:c r="D49" s="2"/>
      <x:c r="E49" s="2"/>
      <x:c r="F49" s="2"/>
      <x:c r="G49" s="2"/>
      <x:c r="H49" s="2"/>
      <x:c r="I49" s="2"/>
      <x:c r="J49" s="2"/>
      <x:c r="K49" s="2"/>
    </x:row>
    <x:row r="50" ht="23" customHeight="1">
      <x:c r="A50" s="2"/>
      <x:c r="B50" s="2"/>
      <x:c r="C50" s="2" t="str">
        <x:v>Chart year</x:v>
      </x:c>
      <x:c r="D50" s="2" t="str">
        <x:v>B Full</x:v>
      </x:c>
      <x:c r="E50" s="2" t="str">
        <x:v>C Partial</x:v>
      </x:c>
      <x:c r="F50" s="2"/>
      <x:c r="G50" s="2"/>
      <x:c r="H50" s="2"/>
      <x:c r="I50" s="2"/>
      <x:c r="J50" s="2"/>
      <x:c r="K50" s="2"/>
    </x:row>
    <x:row r="51" ht="23" customHeight="1">
      <x:c r="A51" s="2"/>
      <x:c r="B51" s="2"/>
      <x:c r="C51" s="2" t="str">
        <x:v>Year 0</x:v>
      </x:c>
      <x:c r="D51" s="68" t="n">
        <x:f>IF('Assumptions'!$G$6="Inputs valid",'Cash Flow'!D58,NA())</x:f>
        <x:v>-5000000</x:v>
      </x:c>
      <x:c r="E51" s="68" t="n">
        <x:f>IF('Assumptions'!$G$6="Inputs valid",'Cash Flow'!D80,NA())</x:f>
        <x:v>-1669000</x:v>
      </x:c>
      <x:c r="F51" s="2"/>
      <x:c r="G51" s="2"/>
      <x:c r="H51" s="2"/>
      <x:c r="I51" s="2"/>
      <x:c r="J51" s="2"/>
      <x:c r="K51" s="2"/>
    </x:row>
    <x:row r="52" ht="23" customHeight="1">
      <x:c r="A52" s="2"/>
      <x:c r="B52" s="2"/>
      <x:c r="C52" s="2" t="str">
        <x:v>Year 1</x:v>
      </x:c>
      <x:c r="D52" s="68" t="n">
        <x:f>IF('Assumptions'!$G$6="Inputs valid",'Cash Flow'!E58,NA())</x:f>
        <x:v>-4695802.31123715</x:v>
      </x:c>
      <x:c r="E52" s="68" t="n">
        <x:f>IF('Assumptions'!$G$6="Inputs valid",'Cash Flow'!E80,NA())</x:f>
        <x:v>-1527613.0135097876</x:v>
      </x:c>
      <x:c r="F52" s="2"/>
      <x:c r="G52" s="2"/>
      <x:c r="H52" s="2"/>
      <x:c r="I52" s="2"/>
      <x:c r="J52" s="2"/>
      <x:c r="K52" s="2"/>
    </x:row>
    <x:row r="53" ht="23" customHeight="1">
      <x:c r="A53" s="2"/>
      <x:c r="B53" s="2"/>
      <x:c r="C53" s="2" t="str">
        <x:v>Year 2</x:v>
      </x:c>
      <x:c r="D53" s="68" t="n">
        <x:f>IF('Assumptions'!$G$6="Inputs valid",'Cash Flow'!F58,NA())</x:f>
        <x:v>-4413366.19302655</x:v>
      </x:c>
      <x:c r="E53" s="68" t="n">
        <x:f>IF('Assumptions'!$G$6="Inputs valid",'Cash Flow'!F80,NA())</x:f>
        <x:v>-1397143.4373611812</x:v>
      </x:c>
      <x:c r="F53" s="2"/>
      <x:c r="G53" s="2"/>
      <x:c r="H53" s="2"/>
      <x:c r="I53" s="2"/>
      <x:c r="J53" s="2"/>
      <x:c r="K53" s="2"/>
    </x:row>
    <x:row r="54" ht="23" customHeight="1">
      <x:c r="A54" s="2"/>
      <x:c r="B54" s="2"/>
      <x:c r="C54" s="2" t="str">
        <x:v>Year 3</x:v>
      </x:c>
      <x:c r="D54" s="68" t="n">
        <x:f>IF('Assumptions'!$G$6="Inputs valid",'Cash Flow'!G58,NA())</x:f>
        <x:v>-3490298.8580604177</x:v>
      </x:c>
      <x:c r="E54" s="68" t="n">
        <x:f>IF('Assumptions'!$G$6="Inputs valid",'Cash Flow'!G80,NA())</x:f>
        <x:v>-616875.7356830485</x:v>
      </x:c>
      <x:c r="F54" s="2"/>
      <x:c r="G54" s="2"/>
      <x:c r="H54" s="2"/>
      <x:c r="I54" s="2"/>
      <x:c r="J54" s="2"/>
      <x:c r="K54" s="2"/>
    </x:row>
    <x:row r="55" ht="23" customHeight="1">
      <x:c r="A55" s="2"/>
      <x:c r="B55" s="2"/>
      <x:c r="C55" s="2" t="str">
        <x:v>Year 4</x:v>
      </x:c>
      <x:c r="D55" s="68" t="n">
        <x:f>IF('Assumptions'!$G$6="Inputs valid",'Cash Flow'!H58,NA())</x:f>
        <x:v>-3245003.4238019115</x:v>
      </x:c>
      <x:c r="E55" s="68" t="n">
        <x:f>IF('Assumptions'!$G$6="Inputs valid",'Cash Flow'!H80,NA())</x:f>
        <x:v>-505889.6295372991</x:v>
      </x:c>
      <x:c r="F55" s="2"/>
      <x:c r="G55" s="2"/>
      <x:c r="H55" s="2"/>
      <x:c r="I55" s="2"/>
      <x:c r="J55" s="2"/>
      <x:c r="K55" s="2"/>
    </x:row>
    <x:row r="56" ht="23" customHeight="1">
      <x:c r="A56" s="2"/>
      <x:c r="B56" s="2"/>
      <x:c r="C56" s="2" t="str">
        <x:v>Year 5</x:v>
      </x:c>
      <x:c r="D56" s="68" t="n">
        <x:f>IF('Assumptions'!$G$6="Inputs valid",'Cash Flow'!I58,NA())</x:f>
        <x:v>-3013776.54792083</x:v>
      </x:c>
      <x:c r="E56" s="68" t="n">
        <x:f>IF('Assumptions'!$G$6="Inputs valid",'Cash Flow'!I80,NA())</x:f>
        <x:v>-767995.3933772476</x:v>
      </x:c>
      <x:c r="F56" s="2"/>
      <x:c r="G56" s="2"/>
      <x:c r="H56" s="2"/>
      <x:c r="I56" s="2"/>
      <x:c r="J56" s="2"/>
      <x:c r="K56" s="2"/>
    </x:row>
    <x:row r="57" ht="23" customHeight="1">
      <x:c r="A57" s="2"/>
      <x:c r="B57" s="2"/>
      <x:c r="C57" s="2" t="str">
        <x:v>Year 6</x:v>
      </x:c>
      <x:c r="D57" s="68" t="n">
        <x:f>IF('Assumptions'!$G$6="Inputs valid",'Cash Flow'!J58,NA())</x:f>
        <x:v>-2796096.517400311</x:v>
      </x:c>
      <x:c r="E57" s="68" t="n">
        <x:f>IF('Assumptions'!$G$6="Inputs valid",'Cash Flow'!J80,NA())</x:f>
        <x:v>-666880.3693410961</x:v>
      </x:c>
      <x:c r="F57" s="2"/>
      <x:c r="G57" s="2"/>
      <x:c r="H57" s="2"/>
      <x:c r="I57" s="2"/>
      <x:c r="J57" s="2"/>
      <x:c r="K57" s="2"/>
    </x:row>
    <x:row r="58" ht="23" customHeight="1">
      <x:c r="A58" s="2"/>
      <x:c r="B58" s="2"/>
      <x:c r="C58" s="2" t="str">
        <x:v>Year 7</x:v>
      </x:c>
      <x:c r="D58" s="68" t="n">
        <x:f>IF('Assumptions'!$G$6="Inputs valid",'Cash Flow'!K58,NA())</x:f>
        <x:v>-2296510.2576763434</x:v>
      </x:c>
      <x:c r="E58" s="68" t="n">
        <x:f>IF('Assumptions'!$G$6="Inputs valid",'Cash Flow'!K80,NA())</x:f>
        <x:v>-178842.23607708584</x:v>
      </x:c>
      <x:c r="F58" s="2"/>
      <x:c r="G58" s="2"/>
      <x:c r="H58" s="2"/>
      <x:c r="I58" s="2"/>
      <x:c r="J58" s="2"/>
      <x:c r="K58" s="2"/>
    </x:row>
    <x:row r="59" ht="23" customHeight="1">
      <x:c r="A59" s="2"/>
      <x:c r="B59" s="2"/>
      <x:c r="C59" s="2" t="str">
        <x:v>Year 8</x:v>
      </x:c>
      <x:c r="D59" s="68" t="n">
        <x:f>IF('Assumptions'!$G$6="Inputs valid",'Cash Flow'!L58,NA())</x:f>
        <x:v>-2105187.4963106154</x:v>
      </x:c>
      <x:c r="E59" s="68" t="n">
        <x:f>IF('Assumptions'!$G$6="Inputs valid",'Cash Flow'!L80,NA())</x:f>
        <x:v>-91588.84105678396</x:v>
      </x:c>
      <x:c r="F59" s="2"/>
      <x:c r="G59" s="2"/>
      <x:c r="H59" s="2"/>
      <x:c r="I59" s="2"/>
      <x:c r="J59" s="2"/>
      <x:c r="K59" s="2"/>
    </x:row>
    <x:row r="60" ht="23" customHeight="1">
      <x:c r="A60" s="2"/>
      <x:c r="B60" s="2"/>
      <x:c r="C60" s="2" t="str">
        <x:v>Year 9</x:v>
      </x:c>
      <x:c r="D60" s="68" t="n">
        <x:f>IF('Assumptions'!$G$6="Inputs valid",'Cash Flow'!M58,NA())</x:f>
        <x:v>-1924753.6687075743</x:v>
      </x:c>
      <x:c r="E60" s="68" t="n">
        <x:f>IF('Assumptions'!$G$6="Inputs valid",'Cash Flow'!M80,NA())</x:f>
        <x:v>-9216.874717684695</x:v>
      </x:c>
      <x:c r="F60" s="2"/>
      <x:c r="G60" s="2"/>
      <x:c r="H60" s="2"/>
      <x:c r="I60" s="2"/>
      <x:c r="J60" s="2"/>
      <x:c r="K60" s="2"/>
    </x:row>
    <x:row r="61" ht="23" customHeight="1">
      <x:c r="A61" s="2"/>
      <x:c r="B61" s="2"/>
      <x:c r="C61" s="2" t="str">
        <x:v>Year 10</x:v>
      </x:c>
      <x:c r="D61" s="68" t="n">
        <x:f>IF('Assumptions'!$G$6="Inputs valid",'Cash Flow'!N58,NA())</x:f>
        <x:v>-1754620.4545888235</x:v>
      </x:c>
      <x:c r="E61" s="68" t="n">
        <x:f>IF('Assumptions'!$G$6="Inputs valid",'Cash Flow'!N80,NA())</x:f>
        <x:v>68530.6396530482</x:v>
      </x:c>
      <x:c r="F61" s="2"/>
      <x:c r="G61" s="2"/>
      <x:c r="H61" s="2"/>
      <x:c r="I61" s="2"/>
      <x:c r="J61" s="2"/>
      <x:c r="K61" s="2"/>
    </x:row>
    <x:row r="62" ht="23" customHeight="1">
      <x:c r="A62" s="2"/>
      <x:c r="B62" s="2"/>
      <x:c r="C62" s="2"/>
      <x:c r="D62" s="2"/>
      <x:c r="E62" s="2"/>
      <x:c r="F62" s="2"/>
      <x:c r="G62" s="2"/>
      <x:c r="H62" s="2"/>
      <x:c r="I62" s="2"/>
      <x:c r="J62" s="2"/>
      <x:c r="K62" s="2"/>
    </x:row>
    <x:row r="63" ht="23" customHeight="1">
      <x:c r="A63" s="2"/>
      <x:c r="B63" s="2"/>
      <x:c r="C63" s="2"/>
      <x:c r="D63" s="2"/>
      <x:c r="E63" s="2"/>
      <x:c r="F63" s="2"/>
      <x:c r="G63" s="2"/>
      <x:c r="H63" s="2"/>
      <x:c r="I63" s="2"/>
      <x:c r="J63" s="2"/>
      <x:c r="K63" s="2"/>
    </x:row>
    <x:row r="64" ht="23" customHeight="1">
      <x:c r="A64" s="2"/>
      <x:c r="B64" s="2"/>
      <x:c r="C64" s="2"/>
      <x:c r="D64" s="2"/>
      <x:c r="E64" s="2"/>
      <x:c r="F64" s="2"/>
      <x:c r="G64" s="2"/>
      <x:c r="H64" s="2"/>
      <x:c r="I64" s="2"/>
      <x:c r="J64" s="2"/>
      <x:c r="K64" s="2"/>
    </x:row>
    <x:row r="65" ht="23" customHeight="1">
      <x:c r="A65" s="2"/>
      <x:c r="B65" s="2"/>
      <x:c r="C65" s="2"/>
      <x:c r="D65" s="2"/>
      <x:c r="E65" s="2"/>
      <x:c r="F65" s="2"/>
      <x:c r="G65" s="2"/>
      <x:c r="H65" s="2"/>
      <x:c r="I65" s="2"/>
      <x:c r="J65" s="2"/>
      <x:c r="K65" s="2"/>
    </x:row>
  </x:sheetData>
  <x:mergeCells>
    <x:mergeCell ref="C3:F3"/>
    <x:mergeCell ref="C22:F22"/>
    <x:mergeCell ref="C23:F23"/>
    <x:mergeCell ref="C42:F42"/>
    <x:mergeCell ref="C43:F43"/>
    <x:mergeCell ref="C44:F44"/>
    <x:mergeCell ref="C46:F46"/>
  </x:mergeCells>
  <x:conditionalFormatting sqref="C22:C22">
    <x:cfRule type="containsText" dxfId="6" priority="1" operator="containsText" text="Invalid selected"/>
  </x:conditionalFormatting>
  <x:printOptions horizontalCentered="1" headings="0" gridLines="0"/>
  <x:pageMargins left="0.3" right="0.3" top="0.35" bottom="0.35" header="0.15" footer="0.15"/>
  <x:pageSetup paperSize="1" orientation="portrait" fitToWidth="1" fitToHeight="1"/>
  <x:headerFooter>
    <x:oddFooter>&amp;L&amp;"Times New Roman,Regular"&amp;9Summary&amp;RPage &amp;P of &amp;N</x:oddFooter>
  </x:headerFooter>
  <x:drawing xmlns:r="http://schemas.openxmlformats.org/officeDocument/2006/relationships" r:id="R422e4e4c0be24f96"/>
</x:worksheet>
</file>

<file path=xl/worksheets/sheet2.xml><?xml version="1.0" encoding="utf-8"?>
<x:worksheet xmlns:x="http://schemas.openxmlformats.org/spreadsheetml/2006/main">
  <x:sheetPr>
    <x:tabColor rgb="FFA0A0A0"/>
    <x:pageSetUpPr fitToPage="1"/>
  </x:sheetPr>
  <x:sheetViews>
    <x:sheetView showGridLines="0" workbookViewId="0">
      <x:pane ySplit="7" topLeftCell="A8" activePane="bottomLeft" state="frozen"/>
    </x:sheetView>
  </x:sheetViews>
  <x:sheetFormatPr defaultRowHeight="15"/>
  <x:cols>
    <x:col min="1" max="1" width="3" hidden="0" customWidth="1"/>
    <x:col min="2" max="2" width="3" hidden="0" customWidth="1"/>
    <x:col min="3" max="3" width="46" hidden="0" customWidth="1"/>
    <x:col min="4" max="4" width="16" hidden="0" customWidth="1"/>
    <x:col min="5" max="5" width="16" hidden="0" customWidth="1"/>
    <x:col min="6" max="6" width="16" hidden="0" customWidth="1"/>
    <x:col min="7" max="7" width="17" hidden="0" customWidth="1"/>
    <x:col min="8" max="8" width="17" hidden="0" customWidth="1"/>
    <x:col min="9" max="9" width="17" hidden="0" customWidth="1"/>
    <x:col min="10" max="10" width="17" hidden="0" customWidth="1"/>
    <x:col min="11" max="11" width="17" hidden="0" customWidth="1"/>
  </x:cols>
  <x:sheetData>
    <x:row r="1" ht="23" customHeight="1">
      <x:c r="A1" s="2"/>
      <x:c r="B1" s="2"/>
      <x:c r="C1" s="2"/>
      <x:c r="D1" s="2"/>
      <x:c r="E1" s="2"/>
      <x:c r="F1" s="2"/>
      <x:c r="G1" s="2"/>
      <x:c r="H1" s="2"/>
      <x:c r="I1" s="2"/>
      <x:c r="J1" s="2"/>
      <x:c r="K1" s="2"/>
    </x:row>
    <x:row r="2" ht="23" customHeight="1">
      <x:c r="A2" s="2"/>
      <x:c r="B2" s="2"/>
      <x:c r="C2" s="3" t="str">
        <x:v>Engineering and financial assumptions</x:v>
      </x:c>
      <x:c r="D2" s="2"/>
      <x:c r="E2" s="2"/>
      <x:c r="F2" s="2"/>
      <x:c r="G2" s="2"/>
      <x:c r="H2" s="2"/>
      <x:c r="I2" s="2"/>
      <x:c r="J2" s="2"/>
      <x:c r="K2" s="2"/>
    </x:row>
    <x:row r="3" ht="23" customHeight="1">
      <x:c r="A3" s="2"/>
      <x:c r="B3" s="2"/>
      <x:c r="C3" s="5" t="str">
        <x:v>Inputs reconstructed from the supplied PDF. Blue values in gray cells are editable.</x:v>
      </x:c>
      <x:c r="D3" s="2"/>
      <x:c r="E3" s="2"/>
      <x:c r="F3" s="2"/>
      <x:c r="G3" s="2"/>
      <x:c r="H3" s="2"/>
      <x:c r="I3" s="2"/>
      <x:c r="J3" s="2"/>
      <x:c r="K3" s="2"/>
    </x:row>
    <x:row r="4" ht="23" customHeight="1">
      <x:c r="A4" s="2"/>
      <x:c r="B4" s="2"/>
      <x:c r="C4" s="2"/>
      <x:c r="D4" s="2"/>
      <x:c r="E4" s="2"/>
      <x:c r="F4" s="2"/>
      <x:c r="G4" s="2"/>
      <x:c r="H4" s="2"/>
      <x:c r="I4" s="2"/>
      <x:c r="J4" s="2"/>
      <x:c r="K4" s="2"/>
    </x:row>
    <x:row r="5" ht="23" customHeight="1">
      <x:c r="A5" s="2"/>
      <x:c r="B5" s="2"/>
      <x:c r="C5" s="2" t="str">
        <x:v>Scenario selector</x:v>
      </x:c>
      <x:c r="D5" s="2"/>
      <x:c r="E5" s="8" t="n">
        <x:v>1</x:v>
      </x:c>
      <x:c r="F5" s="2"/>
      <x:c r="G5" s="2" t="str">
        <x:v>1 Base   2 Optimistic   3 Downside</x:v>
      </x:c>
      <x:c r="H5" s="2"/>
      <x:c r="I5" s="2"/>
      <x:c r="J5" s="2"/>
      <x:c r="K5" s="2"/>
    </x:row>
    <x:row r="6" ht="23" customHeight="1">
      <x:c r="A6" s="2"/>
      <x:c r="B6" s="2"/>
      <x:c r="C6" s="2" t="str">
        <x:v>Selected scenario</x:v>
      </x:c>
      <x:c r="D6" s="2"/>
      <x:c r="E6" s="67" t="str">
        <x:f>IF(IFERROR(AND(ISNUMBER(E5),E5=INT(E5),E5&gt;=1,E5&lt;=3),FALSE),CHOOSE(E5,"Base","Optimistic","Downside"),"INVALID selector")</x:f>
        <x:v>Base</x:v>
      </x:c>
      <x:c r="F6" s="2"/>
      <x:c r="G6" s="78" t="str">
        <x:f>IF(E6="INVALID selector","INVALID: scenario selector",IF(G60&lt;&gt;"OK",G60,IF(G65&lt;&gt;"OK",G65,IF(G70&lt;&gt;"OK",G70,IF(G75&lt;&gt;"OK",G75,IF(G80&lt;&gt;"OK",G80,IF(G91&lt;&gt;"MACRS valid",G91,"Inputs valid")))))))</x:f>
        <x:v>Inputs valid</x:v>
      </x:c>
      <x:c r="H6" s="2"/>
      <x:c r="I6" s="2"/>
      <x:c r="J6" s="2"/>
      <x:c r="K6" s="2"/>
    </x:row>
    <x:row r="7" ht="23" customHeight="1">
      <x:c r="A7" s="2"/>
      <x:c r="B7" s="2"/>
      <x:c r="C7" s="2"/>
      <x:c r="D7" s="2"/>
      <x:c r="E7" s="2"/>
      <x:c r="F7" s="2"/>
      <x:c r="G7" s="2"/>
      <x:c r="H7" s="2"/>
      <x:c r="I7" s="2"/>
      <x:c r="J7" s="2"/>
      <x:c r="K7" s="2"/>
    </x:row>
    <x:row r="8" ht="28" customHeight="1">
      <x:c r="A8" s="2"/>
      <x:c r="B8" s="2"/>
      <x:c r="C8" s="11" t="str">
        <x:v>Building inputs</x:v>
      </x:c>
      <x:c r="D8" s="11" t="str">
        <x:v>Unit</x:v>
      </x:c>
      <x:c r="E8" s="11" t="str">
        <x:v>Value</x:v>
      </x:c>
      <x:c r="F8" s="2"/>
      <x:c r="G8" s="2"/>
      <x:c r="H8" s="2"/>
      <x:c r="I8" s="2"/>
      <x:c r="J8" s="2"/>
      <x:c r="K8" s="2"/>
    </x:row>
    <x:row r="9" ht="23" customHeight="1">
      <x:c r="A9" s="2"/>
      <x:c r="B9" s="2"/>
      <x:c r="C9" s="2" t="str">
        <x:v>Gross floor area</x:v>
      </x:c>
      <x:c r="D9" s="2" t="str">
        <x:v>sq ft</x:v>
      </x:c>
      <x:c r="E9" s="12" t="n">
        <x:v>500000</x:v>
      </x:c>
      <x:c r="F9" s="2"/>
      <x:c r="G9" s="2" t="str">
        <x:v>Fictional building, PDF p3</x:v>
      </x:c>
      <x:c r="H9" s="2"/>
      <x:c r="I9" s="2"/>
      <x:c r="J9" s="2"/>
      <x:c r="K9" s="2"/>
    </x:row>
    <x:row r="10" ht="23" customHeight="1">
      <x:c r="A10" s="2"/>
      <x:c r="B10" s="2"/>
      <x:c r="C10" s="2" t="str">
        <x:v>Installed cooling capacity</x:v>
      </x:c>
      <x:c r="D10" s="2" t="str">
        <x:v>tons</x:v>
      </x:c>
      <x:c r="E10" s="12" t="n">
        <x:v>1200</x:v>
      </x:c>
      <x:c r="F10" s="2"/>
      <x:c r="G10" s="2" t="str">
        <x:v>Two 600-ton chillers</x:v>
      </x:c>
      <x:c r="H10" s="2"/>
      <x:c r="I10" s="2"/>
      <x:c r="J10" s="2"/>
      <x:c r="K10" s="2"/>
    </x:row>
    <x:row r="11" ht="23" customHeight="1">
      <x:c r="A11" s="2"/>
      <x:c r="B11" s="2"/>
      <x:c r="C11" s="2" t="str">
        <x:v>Existing equipment age</x:v>
      </x:c>
      <x:c r="D11" s="2" t="str">
        <x:v>years</x:v>
      </x:c>
      <x:c r="E11" s="12" t="n">
        <x:v>20</x:v>
      </x:c>
      <x:c r="F11" s="2"/>
      <x:c r="G11" s="2" t="str">
        <x:v>Condition unverified</x:v>
      </x:c>
      <x:c r="H11" s="2"/>
      <x:c r="I11" s="2"/>
      <x:c r="J11" s="2"/>
      <x:c r="K11" s="2"/>
    </x:row>
    <x:row r="12" ht="23" customHeight="1">
      <x:c r="A12" s="2"/>
      <x:c r="B12" s="2"/>
      <x:c r="C12" s="2" t="str">
        <x:v>Ventilation schedule</x:v>
      </x:c>
      <x:c r="D12" s="2" t="str">
        <x:v>hours/year</x:v>
      </x:c>
      <x:c r="E12" s="12" t="n">
        <x:v>3600</x:v>
      </x:c>
      <x:c r="F12" s="2"/>
      <x:c r="G12" s="2" t="str">
        <x:v>12 hours × 5 days × 50 weeks + 600</x:v>
      </x:c>
      <x:c r="H12" s="2"/>
      <x:c r="I12" s="2"/>
      <x:c r="J12" s="2"/>
      <x:c r="K12" s="2"/>
    </x:row>
    <x:row r="13" ht="23" customHeight="1">
      <x:c r="A13" s="2"/>
      <x:c r="B13" s="2"/>
      <x:c r="C13" s="2" t="str">
        <x:v>Reference chiller service life</x:v>
      </x:c>
      <x:c r="D13" s="2" t="str">
        <x:v>years</x:v>
      </x:c>
      <x:c r="E13" s="12" t="n">
        <x:v>23</x:v>
      </x:c>
      <x:c r="F13" s="2"/>
      <x:c r="G13" s="2" t="str">
        <x:v>Reference only; model horizon is 10 years</x:v>
      </x:c>
      <x:c r="H13" s="2"/>
      <x:c r="I13" s="2"/>
      <x:c r="J13" s="2"/>
      <x:c r="K13" s="2"/>
    </x:row>
    <x:row r="14" ht="23" customHeight="1">
      <x:c r="A14" s="2"/>
      <x:c r="B14" s="2"/>
      <x:c r="C14" s="2" t="str">
        <x:v>Other building electricity</x:v>
      </x:c>
      <x:c r="D14" s="2" t="str">
        <x:v>kWh/year</x:v>
      </x:c>
      <x:c r="E14" s="12" t="n">
        <x:v>6000000</x:v>
      </x:c>
      <x:c r="F14" s="2"/>
      <x:c r="G14" s="2" t="str">
        <x:v>Unchanged lighting, plugs and lifts</x:v>
      </x:c>
      <x:c r="H14" s="2"/>
      <x:c r="I14" s="2"/>
      <x:c r="J14" s="2"/>
      <x:c r="K14" s="2"/>
    </x:row>
    <x:row r="15" ht="23" customHeight="1">
      <x:c r="A15" s="2"/>
      <x:c r="B15" s="2"/>
      <x:c r="C15" s="2" t="str">
        <x:v>Natural gas consumption</x:v>
      </x:c>
      <x:c r="D15" s="2" t="str">
        <x:v>therms/year</x:v>
      </x:c>
      <x:c r="E15" s="12" t="n">
        <x:v>200000</x:v>
      </x:c>
      <x:c r="F15" s="2"/>
      <x:c r="G15" s="2" t="str">
        <x:v>Unchanged heating and hot water</x:v>
      </x:c>
      <x:c r="H15" s="2"/>
      <x:c r="I15" s="2"/>
      <x:c r="J15" s="2"/>
      <x:c r="K15" s="2"/>
    </x:row>
    <x:row r="16" ht="23" customHeight="1">
      <x:c r="A16" s="2"/>
      <x:c r="B16" s="2"/>
      <x:c r="C16" s="2"/>
      <x:c r="D16" s="2"/>
      <x:c r="E16" s="2"/>
      <x:c r="F16" s="2"/>
      <x:c r="G16" s="2"/>
      <x:c r="H16" s="2"/>
      <x:c r="I16" s="2"/>
      <x:c r="J16" s="2"/>
      <x:c r="K16" s="2"/>
    </x:row>
    <x:row r="17" ht="23" customHeight="1">
      <x:c r="A17" s="2"/>
      <x:c r="B17" s="2"/>
      <x:c r="C17" s="18" t="str">
        <x:v>Financial and timing inputs</x:v>
      </x:c>
      <x:c r="D17" s="18"/>
      <x:c r="E17" s="18"/>
      <x:c r="F17" s="2"/>
      <x:c r="G17" s="2"/>
      <x:c r="H17" s="2"/>
      <x:c r="I17" s="2"/>
      <x:c r="J17" s="2"/>
      <x:c r="K17" s="2"/>
    </x:row>
    <x:row r="18" ht="23" customHeight="1">
      <x:c r="A18" s="2"/>
      <x:c r="B18" s="2"/>
      <x:c r="C18" s="2" t="str">
        <x:v>Combined marginal tax rate</x:v>
      </x:c>
      <x:c r="D18" s="2" t="str">
        <x:v>%</x:v>
      </x:c>
      <x:c r="E18" s="13" t="n">
        <x:v>0.28</x:v>
      </x:c>
      <x:c r="F18" s="2"/>
      <x:c r="G18" s="2" t="str">
        <x:v>Illustrative taxable owner; immediate tax capacity</x:v>
      </x:c>
      <x:c r="H18" s="2"/>
      <x:c r="I18" s="2"/>
      <x:c r="J18" s="2"/>
      <x:c r="K18" s="2"/>
    </x:row>
    <x:row r="19" ht="23" customHeight="1">
      <x:c r="A19" s="2"/>
      <x:c r="B19" s="2"/>
      <x:c r="C19" s="2" t="str">
        <x:v>Electricity price escalation</x:v>
      </x:c>
      <x:c r="D19" s="2" t="str">
        <x:v>%/year</x:v>
      </x:c>
      <x:c r="E19" s="13" t="n">
        <x:v>0.025</x:v>
      </x:c>
      <x:c r="F19" s="2"/>
      <x:c r="G19" s="2" t="str">
        <x:v>Nominal, from year 2</x:v>
      </x:c>
      <x:c r="H19" s="2"/>
      <x:c r="I19" s="2"/>
      <x:c r="J19" s="2"/>
      <x:c r="K19" s="2"/>
    </x:row>
    <x:row r="20" ht="23" customHeight="1">
      <x:c r="A20" s="2"/>
      <x:c r="B20" s="2"/>
      <x:c r="C20" s="2" t="str">
        <x:v>O&amp;M and future capital escalation</x:v>
      </x:c>
      <x:c r="D20" s="2" t="str">
        <x:v>%/year</x:v>
      </x:c>
      <x:c r="E20" s="13" t="n">
        <x:v>0.025</x:v>
      </x:c>
      <x:c r="F20" s="2"/>
      <x:c r="G20" s="2" t="str">
        <x:v>Future capital budgets in year 1 dollars</x:v>
      </x:c>
      <x:c r="H20" s="2"/>
      <x:c r="I20" s="2"/>
      <x:c r="J20" s="2"/>
      <x:c r="K20" s="2"/>
    </x:row>
    <x:row r="21" ht="23" customHeight="1">
      <x:c r="A21" s="2"/>
      <x:c r="B21" s="2"/>
      <x:c r="C21" s="2" t="str">
        <x:v>Year 0 funding date</x:v>
      </x:c>
      <x:c r="D21" s="2" t="str">
        <x:v>date</x:v>
      </x:c>
      <x:c r="E21" s="14" t="d">
        <x:v>2026-12-31T00:00:00.000Z</x:v>
      </x:c>
      <x:c r="F21" s="2"/>
      <x:c r="G21" s="2" t="str">
        <x:v>Year-end timing; initial assets in service January</x:v>
      </x:c>
      <x:c r="H21" s="2"/>
      <x:c r="I21" s="2"/>
      <x:c r="J21" s="2"/>
      <x:c r="K21" s="2"/>
    </x:row>
    <x:row r="22" ht="23" customHeight="1">
      <x:c r="A22" s="2"/>
      <x:c r="B22" s="2"/>
      <x:c r="C22" s="2" t="str">
        <x:v>Owner retained operating savings</x:v>
      </x:c>
      <x:c r="D22" s="2" t="str">
        <x:v>%</x:v>
      </x:c>
      <x:c r="E22" s="13" t="n">
        <x:v>1</x:v>
      </x:c>
      <x:c r="F22" s="2"/>
      <x:c r="G22" s="2" t="str">
        <x:v>Gross lease assumption; applies to net operating savings</x:v>
      </x:c>
      <x:c r="H22" s="2"/>
      <x:c r="I22" s="2"/>
      <x:c r="J22" s="2"/>
      <x:c r="K22" s="2"/>
    </x:row>
    <x:row r="23" ht="23" customHeight="1">
      <x:c r="A23" s="2"/>
      <x:c r="B23" s="2"/>
      <x:c r="C23" s="2" t="str">
        <x:v>Initial real-asset book life</x:v>
      </x:c>
      <x:c r="D23" s="2" t="str">
        <x:v>years</x:v>
      </x:c>
      <x:c r="E23" s="12" t="n">
        <x:v>20</x:v>
      </x:c>
      <x:c r="F23" s="2"/>
      <x:c r="G23" s="2" t="str">
        <x:v>Reference straight-line schedule only</x:v>
      </x:c>
      <x:c r="H23" s="2"/>
      <x:c r="I23" s="2"/>
      <x:c r="J23" s="2"/>
      <x:c r="K23" s="2"/>
    </x:row>
    <x:row r="24" ht="23" customHeight="1">
      <x:c r="A24" s="2"/>
      <x:c r="B24" s="2"/>
      <x:c r="C24" s="2" t="str">
        <x:v>Real-property tax recovery period</x:v>
      </x:c>
      <x:c r="D24" s="2" t="str">
        <x:v>years</x:v>
      </x:c>
      <x:c r="E24" s="12" t="n">
        <x:v>39</x:v>
      </x:c>
      <x:c r="F24" s="2"/>
      <x:c r="G24" s="2" t="str">
        <x:v>Inherited classification assumption; see Sources</x:v>
      </x:c>
      <x:c r="H24" s="2"/>
      <x:c r="I24" s="2"/>
      <x:c r="J24" s="2"/>
      <x:c r="K24" s="2"/>
    </x:row>
    <x:row r="25" ht="23" customHeight="1">
      <x:c r="A25" s="2"/>
      <x:c r="B25" s="2"/>
      <x:c r="C25" s="2" t="str">
        <x:v>Real-property contingency</x:v>
      </x:c>
      <x:c r="D25" s="2" t="str">
        <x:v>%</x:v>
      </x:c>
      <x:c r="E25" s="13" t="n">
        <x:v>0.1</x:v>
      </x:c>
      <x:c r="F25" s="2"/>
      <x:c r="G25" s="2" t="str">
        <x:v>Assumed spent; excludes training and computer</x:v>
      </x:c>
      <x:c r="H25" s="2"/>
      <x:c r="I25" s="2"/>
      <x:c r="J25" s="2"/>
      <x:c r="K25" s="2"/>
    </x:row>
    <x:row r="26" ht="23" customHeight="1">
      <x:c r="A26" s="2"/>
      <x:c r="B26" s="2"/>
      <x:c r="C26" s="2" t="str">
        <x:v>Analysis horizon</x:v>
      </x:c>
      <x:c r="D26" s="2" t="str">
        <x:v>years</x:v>
      </x:c>
      <x:c r="E26" s="16" t="n">
        <x:v>10</x:v>
      </x:c>
      <x:c r="F26" s="2"/>
      <x:c r="G26" s="2" t="str">
        <x:v>Fixed 10-year forecast structure</x:v>
      </x:c>
      <x:c r="H26" s="2"/>
      <x:c r="I26" s="2"/>
      <x:c r="J26" s="2"/>
      <x:c r="K26" s="2"/>
    </x:row>
    <x:row r="27" ht="23" customHeight="1">
      <x:c r="A27" s="2"/>
      <x:c r="B27" s="2"/>
      <x:c r="C27" s="2" t="str">
        <x:v>Initial in-service month</x:v>
      </x:c>
      <x:c r="D27" s="2" t="str">
        <x:v>month</x:v>
      </x:c>
      <x:c r="E27" s="12" t="n">
        <x:v>1</x:v>
      </x:c>
      <x:c r="F27" s="2"/>
      <x:c r="G27" s="2" t="str">
        <x:v>January; mid-month depreciation</x:v>
      </x:c>
      <x:c r="H27" s="2"/>
      <x:c r="I27" s="2"/>
      <x:c r="J27" s="2"/>
      <x:c r="K27" s="2"/>
    </x:row>
    <x:row r="28" ht="23" customHeight="1">
      <x:c r="A28" s="2"/>
      <x:c r="B28" s="2"/>
      <x:c r="C28" s="2" t="str">
        <x:v>Sustaining in-service month</x:v>
      </x:c>
      <x:c r="D28" s="2" t="str">
        <x:v>month</x:v>
      </x:c>
      <x:c r="E28" s="12" t="n">
        <x:v>12</x:v>
      </x:c>
      <x:c r="F28" s="2"/>
      <x:c r="G28" s="2" t="str">
        <x:v>December; mid-month depreciation</x:v>
      </x:c>
      <x:c r="H28" s="2"/>
      <x:c r="I28" s="2"/>
      <x:c r="J28" s="2"/>
      <x:c r="K28" s="2"/>
    </x:row>
    <x:row r="29" ht="23" customHeight="1">
      <x:c r="A29" s="2"/>
      <x:c r="B29" s="2"/>
      <x:c r="C29" s="2" t="str">
        <x:v>Computer book life</x:v>
      </x:c>
      <x:c r="D29" s="2" t="str">
        <x:v>years</x:v>
      </x:c>
      <x:c r="E29" s="12" t="n">
        <x:v>5</x:v>
      </x:c>
      <x:c r="F29" s="2"/>
      <x:c r="G29" s="2" t="str">
        <x:v>Reference straight-line schedule only</x:v>
      </x:c>
      <x:c r="H29" s="2"/>
      <x:c r="I29" s="2"/>
      <x:c r="J29" s="2"/>
      <x:c r="K29" s="2"/>
    </x:row>
    <x:row r="30" ht="23" customHeight="1">
      <x:c r="A30" s="2"/>
      <x:c r="B30" s="2"/>
      <x:c r="C30" s="2"/>
      <x:c r="D30" s="2"/>
      <x:c r="E30" s="2"/>
      <x:c r="F30" s="2"/>
      <x:c r="G30" s="2"/>
      <x:c r="H30" s="2"/>
      <x:c r="I30" s="2"/>
      <x:c r="J30" s="2"/>
      <x:c r="K30" s="2"/>
    </x:row>
    <x:row r="31" ht="23" customHeight="1">
      <x:c r="A31" s="2"/>
      <x:c r="B31" s="2"/>
      <x:c r="C31" s="2"/>
      <x:c r="D31" s="2"/>
      <x:c r="E31" s="2"/>
      <x:c r="F31" s="2"/>
      <x:c r="G31" s="2"/>
      <x:c r="H31" s="2"/>
      <x:c r="I31" s="2"/>
      <x:c r="J31" s="2"/>
      <x:c r="K31" s="2"/>
    </x:row>
    <x:row r="32" ht="28" customHeight="1">
      <x:c r="A32" s="2"/>
      <x:c r="B32" s="2"/>
      <x:c r="C32" s="11" t="str">
        <x:v>Cooling load</x:v>
      </x:c>
      <x:c r="D32" s="11" t="str">
        <x:v>Hours/year</x:v>
      </x:c>
      <x:c r="E32" s="11" t="str">
        <x:v>A kW/ton</x:v>
      </x:c>
      <x:c r="F32" s="11" t="str">
        <x:v>B kW/ton</x:v>
      </x:c>
      <x:c r="G32" s="11" t="str">
        <x:v>C kW/ton</x:v>
      </x:c>
      <x:c r="H32" s="2"/>
      <x:c r="I32" s="2"/>
      <x:c r="J32" s="2"/>
      <x:c r="K32" s="2"/>
    </x:row>
    <x:row r="33" ht="23" customHeight="1">
      <x:c r="A33" s="2"/>
      <x:c r="B33" s="2"/>
      <x:c r="C33" s="13" t="n">
        <x:v>0.25</x:v>
      </x:c>
      <x:c r="D33" s="12" t="n">
        <x:v>750</x:v>
      </x:c>
      <x:c r="E33" s="19" t="n">
        <x:v>0.95</x:v>
      </x:c>
      <x:c r="F33" s="19" t="n">
        <x:v>0.5</x:v>
      </x:c>
      <x:c r="G33" s="19" t="n">
        <x:v>0.84</x:v>
      </x:c>
      <x:c r="H33" s="2"/>
      <x:c r="I33" s="2"/>
      <x:c r="J33" s="2"/>
      <x:c r="K33" s="2"/>
    </x:row>
    <x:row r="34" ht="23" customHeight="1">
      <x:c r="A34" s="2"/>
      <x:c r="B34" s="2"/>
      <x:c r="C34" s="13" t="n">
        <x:v>0.5</x:v>
      </x:c>
      <x:c r="D34" s="12" t="n">
        <x:v>1250</x:v>
      </x:c>
      <x:c r="E34" s="19" t="n">
        <x:v>0.8</x:v>
      </x:c>
      <x:c r="F34" s="19" t="n">
        <x:v>0.48</x:v>
      </x:c>
      <x:c r="G34" s="19" t="n">
        <x:v>0.73</x:v>
      </x:c>
      <x:c r="H34" s="2"/>
      <x:c r="I34" s="2"/>
      <x:c r="J34" s="2"/>
      <x:c r="K34" s="2"/>
    </x:row>
    <x:row r="35" ht="23" customHeight="1">
      <x:c r="A35" s="2"/>
      <x:c r="B35" s="2"/>
      <x:c r="C35" s="13" t="n">
        <x:v>0.75</x:v>
      </x:c>
      <x:c r="D35" s="12" t="n">
        <x:v>750</x:v>
      </x:c>
      <x:c r="E35" s="19" t="n">
        <x:v>0.75</x:v>
      </x:c>
      <x:c r="F35" s="19" t="n">
        <x:v>0.52</x:v>
      </x:c>
      <x:c r="G35" s="19" t="n">
        <x:v>0.7</x:v>
      </x:c>
      <x:c r="H35" s="2"/>
      <x:c r="I35" s="2"/>
      <x:c r="J35" s="2"/>
      <x:c r="K35" s="2"/>
    </x:row>
    <x:row r="36" ht="23" customHeight="1">
      <x:c r="A36" s="2"/>
      <x:c r="B36" s="2"/>
      <x:c r="C36" s="13" t="n">
        <x:v>1</x:v>
      </x:c>
      <x:c r="D36" s="12" t="n">
        <x:v>250</x:v>
      </x:c>
      <x:c r="E36" s="19" t="n">
        <x:v>0.72</x:v>
      </x:c>
      <x:c r="F36" s="19" t="n">
        <x:v>0.585</x:v>
      </x:c>
      <x:c r="G36" s="19" t="n">
        <x:v>0.7</x:v>
      </x:c>
      <x:c r="H36" s="2"/>
      <x:c r="I36" s="2"/>
      <x:c r="J36" s="2"/>
      <x:c r="K36" s="2"/>
    </x:row>
    <x:row r="37" ht="23" customHeight="1">
      <x:c r="A37" s="2"/>
      <x:c r="B37" s="2"/>
      <x:c r="C37" s="2"/>
      <x:c r="D37" s="2"/>
      <x:c r="E37" s="2"/>
      <x:c r="F37" s="2"/>
      <x:c r="G37" s="2"/>
      <x:c r="H37" s="2"/>
      <x:c r="I37" s="2"/>
      <x:c r="J37" s="2"/>
      <x:c r="K37" s="2"/>
    </x:row>
    <x:row r="38" ht="23" customHeight="1">
      <x:c r="A38" s="2"/>
      <x:c r="B38" s="2"/>
      <x:c r="C38" s="2"/>
      <x:c r="D38" s="2"/>
      <x:c r="E38" s="2"/>
      <x:c r="F38" s="2"/>
      <x:c r="G38" s="2"/>
      <x:c r="H38" s="2"/>
      <x:c r="I38" s="2"/>
      <x:c r="J38" s="2"/>
      <x:c r="K38" s="2"/>
    </x:row>
    <x:row r="39" ht="23" customHeight="1">
      <x:c r="A39" s="2"/>
      <x:c r="B39" s="2"/>
      <x:c r="C39" s="2"/>
      <x:c r="D39" s="2"/>
      <x:c r="E39" s="2"/>
      <x:c r="F39" s="2"/>
      <x:c r="G39" s="2"/>
      <x:c r="H39" s="2"/>
      <x:c r="I39" s="2"/>
      <x:c r="J39" s="2"/>
      <x:c r="K39" s="2"/>
    </x:row>
    <x:row r="40" ht="28" customHeight="1">
      <x:c r="A40" s="2"/>
      <x:c r="B40" s="2"/>
      <x:c r="C40" s="11" t="str">
        <x:v>Auxiliary system</x:v>
      </x:c>
      <x:c r="D40" s="11" t="str">
        <x:v>A kW</x:v>
      </x:c>
      <x:c r="E40" s="11" t="str">
        <x:v>A fraction</x:v>
      </x:c>
      <x:c r="F40" s="11" t="str">
        <x:v>B kW</x:v>
      </x:c>
      <x:c r="G40" s="11" t="str">
        <x:v>B fraction</x:v>
      </x:c>
      <x:c r="H40" s="11" t="str">
        <x:v>C kW</x:v>
      </x:c>
      <x:c r="I40" s="11" t="str">
        <x:v>C fraction</x:v>
      </x:c>
      <x:c r="J40" s="11" t="str">
        <x:v>Hours</x:v>
      </x:c>
      <x:c r="K40" s="2"/>
    </x:row>
    <x:row r="41" ht="23" customHeight="1">
      <x:c r="A41" s="2"/>
      <x:c r="B41" s="2"/>
      <x:c r="C41" s="2" t="str">
        <x:v>Supply / return fans</x:v>
      </x:c>
      <x:c r="D41" s="12" t="n">
        <x:v>350</x:v>
      </x:c>
      <x:c r="E41" s="13" t="n">
        <x:v>0.8</x:v>
      </x:c>
      <x:c r="F41" s="12" t="n">
        <x:v>350</x:v>
      </x:c>
      <x:c r="G41" s="13" t="n">
        <x:v>0.48</x:v>
      </x:c>
      <x:c r="H41" s="12" t="n">
        <x:v>350</x:v>
      </x:c>
      <x:c r="I41" s="13" t="n">
        <x:v>0.6</x:v>
      </x:c>
      <x:c r="J41" s="60" t="n">
        <x:f>E12</x:f>
        <x:v>3600</x:v>
      </x:c>
      <x:c r="K41" s="2"/>
    </x:row>
    <x:row r="42" ht="23" customHeight="1">
      <x:c r="A42" s="2"/>
      <x:c r="B42" s="2"/>
      <x:c r="C42" s="2" t="str">
        <x:v>Water pumps</x:v>
      </x:c>
      <x:c r="D42" s="12" t="n">
        <x:v>150</x:v>
      </x:c>
      <x:c r="E42" s="13" t="n">
        <x:v>0.85</x:v>
      </x:c>
      <x:c r="F42" s="12" t="n">
        <x:v>150</x:v>
      </x:c>
      <x:c r="G42" s="13" t="n">
        <x:v>0.45</x:v>
      </x:c>
      <x:c r="H42" s="12" t="n">
        <x:v>150</x:v>
      </x:c>
      <x:c r="I42" s="13" t="n">
        <x:v>0.65</x:v>
      </x:c>
      <x:c r="J42" s="12" t="n">
        <x:v>3000</x:v>
      </x:c>
      <x:c r="K42" s="2"/>
    </x:row>
    <x:row r="43" ht="23" customHeight="1">
      <x:c r="A43" s="2"/>
      <x:c r="B43" s="2"/>
      <x:c r="C43" s="2" t="str">
        <x:v>Cooling tower fans</x:v>
      </x:c>
      <x:c r="D43" s="12" t="n">
        <x:v>60</x:v>
      </x:c>
      <x:c r="E43" s="13" t="n">
        <x:v>0.65</x:v>
      </x:c>
      <x:c r="F43" s="12" t="n">
        <x:v>60</x:v>
      </x:c>
      <x:c r="G43" s="13" t="n">
        <x:v>0.5</x:v>
      </x:c>
      <x:c r="H43" s="12" t="n">
        <x:v>60</x:v>
      </x:c>
      <x:c r="I43" s="13" t="n">
        <x:v>0.55</x:v>
      </x:c>
      <x:c r="J43" s="12" t="n">
        <x:v>3000</x:v>
      </x:c>
      <x:c r="K43" s="2"/>
    </x:row>
    <x:row r="44" ht="23" customHeight="1">
      <x:c r="A44" s="2"/>
      <x:c r="B44" s="2"/>
      <x:c r="C44" s="2"/>
      <x:c r="D44" s="2"/>
      <x:c r="E44" s="2"/>
      <x:c r="F44" s="2"/>
      <x:c r="G44" s="2"/>
      <x:c r="H44" s="2"/>
      <x:c r="I44" s="2"/>
      <x:c r="J44" s="2"/>
      <x:c r="K44" s="2"/>
    </x:row>
    <x:row r="45" ht="23" customHeight="1">
      <x:c r="A45" s="2"/>
      <x:c r="B45" s="2"/>
      <x:c r="C45" s="2"/>
      <x:c r="D45" s="2"/>
      <x:c r="E45" s="2"/>
      <x:c r="F45" s="2"/>
      <x:c r="G45" s="2"/>
      <x:c r="H45" s="2"/>
      <x:c r="I45" s="2"/>
      <x:c r="J45" s="2"/>
      <x:c r="K45" s="2"/>
    </x:row>
    <x:row r="46" ht="28" customHeight="1">
      <x:c r="A46" s="2"/>
      <x:c r="B46" s="2"/>
      <x:c r="C46" s="11" t="str">
        <x:v>Year 1 operating costs</x:v>
      </x:c>
      <x:c r="D46" s="11" t="str">
        <x:v>Unit</x:v>
      </x:c>
      <x:c r="E46" s="11" t="str">
        <x:v>A Existing</x:v>
      </x:c>
      <x:c r="F46" s="11" t="str">
        <x:v>B Full</x:v>
      </x:c>
      <x:c r="G46" s="11" t="str">
        <x:v>C Partial</x:v>
      </x:c>
      <x:c r="H46" s="2"/>
      <x:c r="I46" s="2"/>
      <x:c r="J46" s="2"/>
      <x:c r="K46" s="2"/>
    </x:row>
    <x:row r="47" ht="23" customHeight="1">
      <x:c r="A47" s="2"/>
      <x:c r="B47" s="2"/>
      <x:c r="C47" s="2" t="str">
        <x:v>Planned maintenance</x:v>
      </x:c>
      <x:c r="D47" s="2" t="str">
        <x:v>USD/year</x:v>
      </x:c>
      <x:c r="E47" s="20" t="n">
        <x:v>260000</x:v>
      </x:c>
      <x:c r="F47" s="20" t="n">
        <x:v>140000</x:v>
      </x:c>
      <x:c r="G47" s="20" t="n">
        <x:v>190000</x:v>
      </x:c>
      <x:c r="H47" s="2"/>
      <x:c r="I47" s="2"/>
      <x:c r="J47" s="2"/>
      <x:c r="K47" s="2"/>
    </x:row>
    <x:row r="48" ht="23" customHeight="1">
      <x:c r="A48" s="2"/>
      <x:c r="B48" s="2"/>
      <x:c r="C48" s="2" t="str">
        <x:v>Unplanned repairs</x:v>
      </x:c>
      <x:c r="D48" s="2" t="str">
        <x:v>USD/year</x:v>
      </x:c>
      <x:c r="E48" s="20" t="n">
        <x:v>100000</x:v>
      </x:c>
      <x:c r="F48" s="20" t="n">
        <x:v>25000</x:v>
      </x:c>
      <x:c r="G48" s="20" t="n">
        <x:v>60000</x:v>
      </x:c>
      <x:c r="H48" s="2"/>
      <x:c r="I48" s="2"/>
      <x:c r="J48" s="2"/>
      <x:c r="K48" s="2"/>
    </x:row>
    <x:row r="49" ht="23" customHeight="1">
      <x:c r="A49" s="2"/>
      <x:c r="B49" s="2"/>
      <x:c r="C49" s="2" t="str">
        <x:v>Added software / analytics</x:v>
      </x:c>
      <x:c r="D49" s="2" t="str">
        <x:v>USD/year</x:v>
      </x:c>
      <x:c r="E49" s="20" t="n">
        <x:v>0</x:v>
      </x:c>
      <x:c r="F49" s="20" t="n">
        <x:v>25000</x:v>
      </x:c>
      <x:c r="G49" s="20" t="n">
        <x:v>15000</x:v>
      </x:c>
      <x:c r="H49" s="2"/>
      <x:c r="I49" s="2"/>
      <x:c r="J49" s="2"/>
      <x:c r="K49" s="2"/>
    </x:row>
    <x:row r="50" ht="23" customHeight="1">
      <x:c r="A50" s="2"/>
      <x:c r="B50" s="2"/>
      <x:c r="C50" s="2"/>
      <x:c r="D50" s="2"/>
      <x:c r="E50" s="2"/>
      <x:c r="F50" s="2"/>
      <x:c r="G50" s="2"/>
      <x:c r="H50" s="2"/>
      <x:c r="I50" s="2"/>
      <x:c r="J50" s="2"/>
      <x:c r="K50" s="2"/>
    </x:row>
    <x:row r="51" ht="23" customHeight="1">
      <x:c r="A51" s="2"/>
      <x:c r="B51" s="2"/>
      <x:c r="C51" s="2"/>
      <x:c r="D51" s="2"/>
      <x:c r="E51" s="2"/>
      <x:c r="F51" s="2"/>
      <x:c r="G51" s="2"/>
      <x:c r="H51" s="2"/>
      <x:c r="I51" s="2"/>
      <x:c r="J51" s="2"/>
      <x:c r="K51" s="2"/>
    </x:row>
    <x:row r="52" ht="28" customHeight="1">
      <x:c r="A52" s="2"/>
      <x:c r="B52" s="2"/>
      <x:c r="C52" s="11" t="str">
        <x:v>Sustaining capital plan</x:v>
      </x:c>
      <x:c r="D52" s="11" t="str">
        <x:v>Unit</x:v>
      </x:c>
      <x:c r="E52" s="11" t="str">
        <x:v>A Existing</x:v>
      </x:c>
      <x:c r="F52" s="11" t="str">
        <x:v>B Full</x:v>
      </x:c>
      <x:c r="G52" s="11" t="str">
        <x:v>C Partial</x:v>
      </x:c>
      <x:c r="H52" s="2"/>
      <x:c r="I52" s="2"/>
      <x:c r="J52" s="2"/>
      <x:c r="K52" s="2"/>
    </x:row>
    <x:row r="53" ht="23" customHeight="1">
      <x:c r="A53" s="2"/>
      <x:c r="B53" s="2"/>
      <x:c r="C53" s="2" t="str">
        <x:v>First capital event</x:v>
      </x:c>
      <x:c r="D53" s="2" t="str">
        <x:v>Year 1 USD</x:v>
      </x:c>
      <x:c r="E53" s="20" t="n">
        <x:v>800000</x:v>
      </x:c>
      <x:c r="F53" s="20" t="n">
        <x:v>150000</x:v>
      </x:c>
      <x:c r="G53" s="20" t="n">
        <x:v>500000</x:v>
      </x:c>
      <x:c r="H53" s="2"/>
      <x:c r="I53" s="2"/>
      <x:c r="J53" s="2"/>
      <x:c r="K53" s="2"/>
    </x:row>
    <x:row r="54" ht="23" customHeight="1">
      <x:c r="A54" s="2"/>
      <x:c r="B54" s="2"/>
      <x:c r="C54" s="2" t="str">
        <x:v>First event year</x:v>
      </x:c>
      <x:c r="D54" s="2" t="str">
        <x:v>year</x:v>
      </x:c>
      <x:c r="E54" s="8" t="n">
        <x:v>3</x:v>
      </x:c>
      <x:c r="F54" s="8" t="n">
        <x:v>7</x:v>
      </x:c>
      <x:c r="G54" s="8" t="n">
        <x:v>5</x:v>
      </x:c>
      <x:c r="H54" s="2"/>
      <x:c r="I54" s="2"/>
      <x:c r="J54" s="2"/>
      <x:c r="K54" s="2"/>
    </x:row>
    <x:row r="55" ht="23" customHeight="1">
      <x:c r="A55" s="2"/>
      <x:c r="B55" s="2"/>
      <x:c r="C55" s="2" t="str">
        <x:v>Second capital event</x:v>
      </x:c>
      <x:c r="D55" s="2" t="str">
        <x:v>Year 1 USD</x:v>
      </x:c>
      <x:c r="E55" s="20" t="n">
        <x:v>600000</x:v>
      </x:c>
      <x:c r="F55" s="20" t="n">
        <x:v>0</x:v>
      </x:c>
      <x:c r="G55" s="20" t="n">
        <x:v>0</x:v>
      </x:c>
      <x:c r="H55" s="2"/>
      <x:c r="I55" s="2"/>
      <x:c r="J55" s="2"/>
      <x:c r="K55" s="2"/>
    </x:row>
    <x:row r="56" ht="23" customHeight="1">
      <x:c r="A56" s="2"/>
      <x:c r="B56" s="2"/>
      <x:c r="C56" s="2" t="str">
        <x:v>Second event year (0 = none)</x:v>
      </x:c>
      <x:c r="D56" s="2" t="str">
        <x:v>year</x:v>
      </x:c>
      <x:c r="E56" s="8" t="n">
        <x:v>7</x:v>
      </x:c>
      <x:c r="F56" s="8" t="n">
        <x:v>0</x:v>
      </x:c>
      <x:c r="G56" s="8" t="n">
        <x:v>0</x:v>
      </x:c>
      <x:c r="H56" s="2"/>
      <x:c r="I56" s="2"/>
      <x:c r="J56" s="2"/>
      <x:c r="K56" s="2"/>
    </x:row>
    <x:row r="57" ht="23" customHeight="1">
      <x:c r="A57" s="2"/>
      <x:c r="B57" s="2"/>
      <x:c r="C57" s="2"/>
      <x:c r="D57" s="2"/>
      <x:c r="E57" s="2"/>
      <x:c r="F57" s="2"/>
      <x:c r="G57" s="2"/>
      <x:c r="H57" s="2"/>
      <x:c r="I57" s="2"/>
      <x:c r="J57" s="2"/>
      <x:c r="K57" s="2"/>
    </x:row>
    <x:row r="58" ht="23" customHeight="1">
      <x:c r="A58" s="2"/>
      <x:c r="B58" s="2"/>
      <x:c r="C58" s="2"/>
      <x:c r="D58" s="2"/>
      <x:c r="E58" s="2"/>
      <x:c r="F58" s="2"/>
      <x:c r="G58" s="2"/>
      <x:c r="H58" s="2"/>
      <x:c r="I58" s="2"/>
      <x:c r="J58" s="2"/>
      <x:c r="K58" s="2"/>
    </x:row>
    <x:row r="59" ht="23" customHeight="1">
      <x:c r="A59" s="2"/>
      <x:c r="B59" s="2"/>
      <x:c r="C59" s="2"/>
      <x:c r="D59" s="2"/>
      <x:c r="E59" s="2"/>
      <x:c r="F59" s="2"/>
      <x:c r="G59" s="2" t="str">
        <x:v>Input checks (all cases)</x:v>
      </x:c>
      <x:c r="H59" s="2"/>
      <x:c r="I59" s="2"/>
      <x:c r="J59" s="2"/>
      <x:c r="K59" s="2"/>
    </x:row>
    <x:row r="60" ht="23" customHeight="1">
      <x:c r="A60" s="2"/>
      <x:c r="B60" s="2"/>
      <x:c r="C60" s="18" t="str">
        <x:v>Avoidable electricity price — active</x:v>
      </x:c>
      <x:c r="D60" s="18"/>
      <x:c r="E60" s="63" t="n">
        <x:f>IF(G60="OK",CHOOSE($E$5,E61,E62,E63),NA())</x:f>
        <x:v>0.2</x:v>
      </x:c>
      <x:c r="F60" s="2"/>
      <x:c r="G60" s="78" t="str">
        <x:f>IFERROR(CHOOSE($E$5,G61,G62,G63),"INVALID: selector")</x:f>
        <x:v>OK</x:v>
      </x:c>
      <x:c r="H60" s="2"/>
      <x:c r="I60" s="2"/>
      <x:c r="J60" s="2"/>
      <x:c r="K60" s="2"/>
    </x:row>
    <x:row r="61" ht="23" customHeight="1">
      <x:c r="A61" s="2"/>
      <x:c r="B61" s="2"/>
      <x:c r="C61" s="2" t="str">
        <x:v>Base</x:v>
      </x:c>
      <x:c r="D61" s="2"/>
      <x:c r="E61" s="22" t="n">
        <x:v>0.2</x:v>
      </x:c>
      <x:c r="F61" s="2"/>
      <x:c r="G61" s="78" t="str">
        <x:f>IF(IFERROR(AND(ISNUMBER(E61),E61&gt;=0),FALSE),"OK","INVALID: electricity price")</x:f>
        <x:v>OK</x:v>
      </x:c>
      <x:c r="H61" s="2"/>
      <x:c r="I61" s="2"/>
      <x:c r="J61" s="2"/>
      <x:c r="K61" s="2"/>
    </x:row>
    <x:row r="62" ht="23" customHeight="1">
      <x:c r="A62" s="2"/>
      <x:c r="B62" s="2"/>
      <x:c r="C62" s="2" t="str">
        <x:v>Optimistic</x:v>
      </x:c>
      <x:c r="D62" s="2"/>
      <x:c r="E62" s="22" t="n">
        <x:v>0.25</x:v>
      </x:c>
      <x:c r="F62" s="2"/>
      <x:c r="G62" s="78" t="str">
        <x:f>IF(IFERROR(AND(ISNUMBER(E62),E62&gt;=0),FALSE),"OK","INVALID: electricity price")</x:f>
        <x:v>OK</x:v>
      </x:c>
      <x:c r="H62" s="2"/>
      <x:c r="I62" s="2"/>
      <x:c r="J62" s="2"/>
      <x:c r="K62" s="2"/>
    </x:row>
    <x:row r="63" ht="23" customHeight="1">
      <x:c r="A63" s="2"/>
      <x:c r="B63" s="2"/>
      <x:c r="C63" s="2" t="str">
        <x:v>Downside</x:v>
      </x:c>
      <x:c r="D63" s="2"/>
      <x:c r="E63" s="22" t="n">
        <x:v>0.15</x:v>
      </x:c>
      <x:c r="F63" s="2"/>
      <x:c r="G63" s="78" t="str">
        <x:f>IF(IFERROR(AND(ISNUMBER(E63),E63&gt;=0),FALSE),"OK","INVALID: electricity price")</x:f>
        <x:v>OK</x:v>
      </x:c>
      <x:c r="H63" s="2"/>
      <x:c r="I63" s="2"/>
      <x:c r="J63" s="2"/>
      <x:c r="K63" s="2"/>
    </x:row>
    <x:row r="64" ht="23" customHeight="1">
      <x:c r="A64" s="2"/>
      <x:c r="B64" s="2"/>
      <x:c r="C64" s="2"/>
      <x:c r="D64" s="2"/>
      <x:c r="E64" s="2"/>
      <x:c r="F64" s="2"/>
      <x:c r="G64" s="77"/>
      <x:c r="H64" s="2"/>
      <x:c r="I64" s="2"/>
      <x:c r="J64" s="2"/>
      <x:c r="K64" s="2"/>
    </x:row>
    <x:row r="65" ht="23" customHeight="1">
      <x:c r="A65" s="2"/>
      <x:c r="B65" s="2"/>
      <x:c r="C65" s="18" t="str">
        <x:v>Energy savings realization — active</x:v>
      </x:c>
      <x:c r="D65" s="18"/>
      <x:c r="E65" s="65" t="n">
        <x:f>IF(G65="OK",CHOOSE($E$5,E66,E67,E68),NA())</x:f>
        <x:v>1</x:v>
      </x:c>
      <x:c r="F65" s="2"/>
      <x:c r="G65" s="78" t="str">
        <x:f>IFERROR(CHOOSE($E$5,G66,G67,G68),"INVALID: selector")</x:f>
        <x:v>OK</x:v>
      </x:c>
      <x:c r="H65" s="2"/>
      <x:c r="I65" s="2"/>
      <x:c r="J65" s="2"/>
      <x:c r="K65" s="2"/>
    </x:row>
    <x:row r="66" ht="23" customHeight="1">
      <x:c r="A66" s="2"/>
      <x:c r="B66" s="2"/>
      <x:c r="C66" s="2" t="str">
        <x:v>Base</x:v>
      </x:c>
      <x:c r="D66" s="2"/>
      <x:c r="E66" s="24" t="n">
        <x:v>1</x:v>
      </x:c>
      <x:c r="F66" s="2"/>
      <x:c r="G66" s="79" t="str">
        <x:f>IF(IFERROR(AND(ISNUMBER(E66),E66&gt;=0,'Energy'!$F$18-MAX('Energy'!$G$19:$H$19)*E66&gt;=0),FALSE),"OK","INVALID: energy realization")</x:f>
        <x:v>OK</x:v>
      </x:c>
      <x:c r="H66" s="2"/>
      <x:c r="I66" s="2"/>
      <x:c r="J66" s="2"/>
      <x:c r="K66" s="2"/>
    </x:row>
    <x:row r="67" ht="23" customHeight="1">
      <x:c r="A67" s="2"/>
      <x:c r="B67" s="2"/>
      <x:c r="C67" s="2" t="str">
        <x:v>Optimistic</x:v>
      </x:c>
      <x:c r="D67" s="2"/>
      <x:c r="E67" s="24" t="n">
        <x:v>1.15</x:v>
      </x:c>
      <x:c r="F67" s="2"/>
      <x:c r="G67" s="79" t="str">
        <x:f>IF(IFERROR(AND(ISNUMBER(E67),E67&gt;=0,'Energy'!$F$18-MAX('Energy'!$G$19:$H$19)*E67&gt;=0),FALSE),"OK","INVALID: energy realization")</x:f>
        <x:v>OK</x:v>
      </x:c>
      <x:c r="H67" s="2"/>
      <x:c r="I67" s="2"/>
      <x:c r="J67" s="2"/>
      <x:c r="K67" s="2"/>
    </x:row>
    <x:row r="68" ht="23" customHeight="1">
      <x:c r="A68" s="2"/>
      <x:c r="B68" s="2"/>
      <x:c r="C68" s="2" t="str">
        <x:v>Downside</x:v>
      </x:c>
      <x:c r="D68" s="2"/>
      <x:c r="E68" s="24" t="n">
        <x:v>0.7</x:v>
      </x:c>
      <x:c r="F68" s="2"/>
      <x:c r="G68" s="79" t="str">
        <x:f>IF(IFERROR(AND(ISNUMBER(E68),E68&gt;=0,'Energy'!$F$18-MAX('Energy'!$G$19:$H$19)*E68&gt;=0),FALSE),"OK","INVALID: energy realization")</x:f>
        <x:v>OK</x:v>
      </x:c>
      <x:c r="H68" s="2"/>
      <x:c r="I68" s="2"/>
      <x:c r="J68" s="2"/>
      <x:c r="K68" s="2"/>
    </x:row>
    <x:row r="69" ht="23" customHeight="1">
      <x:c r="A69" s="2"/>
      <x:c r="B69" s="2"/>
      <x:c r="C69" s="2"/>
      <x:c r="D69" s="2"/>
      <x:c r="E69" s="2"/>
      <x:c r="F69" s="2"/>
      <x:c r="G69" s="77" t="str">
        <x:v>Limit: both upgrades must use at least 0 kWh/year.</x:v>
      </x:c>
      <x:c r="H69" s="2"/>
      <x:c r="I69" s="2"/>
      <x:c r="J69" s="2"/>
      <x:c r="K69" s="2"/>
    </x:row>
    <x:row r="70" ht="23" customHeight="1">
      <x:c r="A70" s="2"/>
      <x:c r="B70" s="2"/>
      <x:c r="C70" s="18" t="str">
        <x:v>Initial capital cost multiplier — active</x:v>
      </x:c>
      <x:c r="D70" s="18"/>
      <x:c r="E70" s="65" t="n">
        <x:f>IF(G70="OK",CHOOSE($E$5,E71,E72,E73),NA())</x:f>
        <x:v>1</x:v>
      </x:c>
      <x:c r="F70" s="2"/>
      <x:c r="G70" s="78" t="str">
        <x:f>IFERROR(CHOOSE($E$5,G71,G72,G73),"INVALID: selector")</x:f>
        <x:v>OK</x:v>
      </x:c>
      <x:c r="H70" s="2"/>
      <x:c r="I70" s="2"/>
      <x:c r="J70" s="2"/>
      <x:c r="K70" s="2"/>
    </x:row>
    <x:row r="71" ht="23" customHeight="1">
      <x:c r="A71" s="2"/>
      <x:c r="B71" s="2"/>
      <x:c r="C71" s="2" t="str">
        <x:v>Base</x:v>
      </x:c>
      <x:c r="D71" s="2"/>
      <x:c r="E71" s="24" t="n">
        <x:v>1</x:v>
      </x:c>
      <x:c r="F71" s="2"/>
      <x:c r="G71" s="78" t="str">
        <x:f>IF(IFERROR(AND(ISNUMBER(E71),E71&gt;=0.01,E71&lt;=100),FALSE),"OK","INVALID: capital multiplier")</x:f>
        <x:v>OK</x:v>
      </x:c>
      <x:c r="H71" s="2"/>
      <x:c r="I71" s="2"/>
      <x:c r="J71" s="2"/>
      <x:c r="K71" s="2"/>
    </x:row>
    <x:row r="72" ht="23" customHeight="1">
      <x:c r="A72" s="2"/>
      <x:c r="B72" s="2"/>
      <x:c r="C72" s="2" t="str">
        <x:v>Optimistic</x:v>
      </x:c>
      <x:c r="D72" s="2"/>
      <x:c r="E72" s="24" t="n">
        <x:v>0.95</x:v>
      </x:c>
      <x:c r="F72" s="2"/>
      <x:c r="G72" s="78" t="str">
        <x:f>IF(IFERROR(AND(ISNUMBER(E72),E72&gt;=0.01,E72&lt;=100),FALSE),"OK","INVALID: capital multiplier")</x:f>
        <x:v>OK</x:v>
      </x:c>
      <x:c r="H72" s="2"/>
      <x:c r="I72" s="2"/>
      <x:c r="J72" s="2"/>
      <x:c r="K72" s="2"/>
    </x:row>
    <x:row r="73" ht="23" customHeight="1">
      <x:c r="A73" s="2"/>
      <x:c r="B73" s="2"/>
      <x:c r="C73" s="2" t="str">
        <x:v>Downside</x:v>
      </x:c>
      <x:c r="D73" s="2"/>
      <x:c r="E73" s="24" t="n">
        <x:v>1.2</x:v>
      </x:c>
      <x:c r="F73" s="2"/>
      <x:c r="G73" s="78" t="str">
        <x:f>IF(IFERROR(AND(ISNUMBER(E73),E73&gt;=0.01,E73&lt;=100),FALSE),"OK","INVALID: capital multiplier")</x:f>
        <x:v>OK</x:v>
      </x:c>
      <x:c r="H73" s="2"/>
      <x:c r="I73" s="2"/>
      <x:c r="J73" s="2"/>
      <x:c r="K73" s="2"/>
    </x:row>
    <x:row r="74" ht="23" customHeight="1">
      <x:c r="A74" s="2"/>
      <x:c r="B74" s="2"/>
      <x:c r="C74" s="2"/>
      <x:c r="D74" s="2"/>
      <x:c r="E74" s="2"/>
      <x:c r="F74" s="2"/>
      <x:c r="G74" s="77"/>
      <x:c r="H74" s="2"/>
      <x:c r="I74" s="2"/>
      <x:c r="J74" s="2"/>
      <x:c r="K74" s="2"/>
    </x:row>
    <x:row r="75" ht="23" customHeight="1">
      <x:c r="A75" s="2"/>
      <x:c r="B75" s="2"/>
      <x:c r="C75" s="18" t="str">
        <x:v>Maintenance savings realization — active</x:v>
      </x:c>
      <x:c r="D75" s="18"/>
      <x:c r="E75" s="65" t="n">
        <x:f>IF(G75="OK",CHOOSE($E$5,E76,E77,E78),NA())</x:f>
        <x:v>1</x:v>
      </x:c>
      <x:c r="F75" s="2"/>
      <x:c r="G75" s="78" t="str">
        <x:f>IFERROR(CHOOSE($E$5,G76,G77,G78),"INVALID: selector")</x:f>
        <x:v>OK</x:v>
      </x:c>
      <x:c r="H75" s="2"/>
      <x:c r="I75" s="2"/>
      <x:c r="J75" s="2"/>
      <x:c r="K75" s="2"/>
    </x:row>
    <x:row r="76" ht="23" customHeight="1">
      <x:c r="A76" s="2"/>
      <x:c r="B76" s="2"/>
      <x:c r="C76" s="2" t="str">
        <x:v>Base</x:v>
      </x:c>
      <x:c r="D76" s="2"/>
      <x:c r="E76" s="24" t="n">
        <x:v>1</x:v>
      </x:c>
      <x:c r="F76" s="2"/>
      <x:c r="G76" s="78" t="str">
        <x:f>IF(IFERROR(AND(ISNUMBER(E76),E76&gt;=0,SUM($E$47:$E$48)-MAX(SUM($E$47:$E$48)-SUM($F$47:$F$48),SUM($E$47:$E$48)-SUM($G$47:$G$48))*E76&gt;=0),FALSE),"OK","INVALID: maintenance realization")</x:f>
        <x:v>OK</x:v>
      </x:c>
      <x:c r="H76" s="2"/>
      <x:c r="I76" s="2"/>
      <x:c r="J76" s="2"/>
      <x:c r="K76" s="2"/>
    </x:row>
    <x:row r="77" ht="23" customHeight="1">
      <x:c r="A77" s="2"/>
      <x:c r="B77" s="2"/>
      <x:c r="C77" s="2" t="str">
        <x:v>Optimistic</x:v>
      </x:c>
      <x:c r="D77" s="2"/>
      <x:c r="E77" s="24" t="n">
        <x:v>1.2</x:v>
      </x:c>
      <x:c r="F77" s="2"/>
      <x:c r="G77" s="78" t="str">
        <x:f>IF(IFERROR(AND(ISNUMBER(E77),E77&gt;=0,SUM($E$47:$E$48)-MAX(SUM($E$47:$E$48)-SUM($F$47:$F$48),SUM($E$47:$E$48)-SUM($G$47:$G$48))*E77&gt;=0),FALSE),"OK","INVALID: maintenance realization")</x:f>
        <x:v>OK</x:v>
      </x:c>
      <x:c r="H77" s="2"/>
      <x:c r="I77" s="2"/>
      <x:c r="J77" s="2"/>
      <x:c r="K77" s="2"/>
    </x:row>
    <x:row r="78" ht="23" customHeight="1">
      <x:c r="A78" s="2"/>
      <x:c r="B78" s="2"/>
      <x:c r="C78" s="2" t="str">
        <x:v>Downside</x:v>
      </x:c>
      <x:c r="D78" s="2"/>
      <x:c r="E78" s="24" t="n">
        <x:v>0.6</x:v>
      </x:c>
      <x:c r="F78" s="2"/>
      <x:c r="G78" s="78" t="str">
        <x:f>IF(IFERROR(AND(ISNUMBER(E78),E78&gt;=0,SUM($E$47:$E$48)-MAX(SUM($E$47:$E$48)-SUM($F$47:$F$48),SUM($E$47:$E$48)-SUM($G$47:$G$48))*E78&gt;=0),FALSE),"OK","INVALID: maintenance realization")</x:f>
        <x:v>OK</x:v>
      </x:c>
      <x:c r="H78" s="2"/>
      <x:c r="I78" s="2"/>
      <x:c r="J78" s="2"/>
      <x:c r="K78" s="2"/>
    </x:row>
    <x:row r="79" ht="23" customHeight="1">
      <x:c r="A79" s="2"/>
      <x:c r="B79" s="2"/>
      <x:c r="C79" s="2"/>
      <x:c r="D79" s="2"/>
      <x:c r="E79" s="2"/>
      <x:c r="F79" s="2"/>
      <x:c r="G79" s="77" t="str">
        <x:v>Limit: both upgrades must have nonnegative repair + maintenance cost.</x:v>
      </x:c>
      <x:c r="H79" s="2"/>
      <x:c r="I79" s="2"/>
      <x:c r="J79" s="2"/>
      <x:c r="K79" s="2"/>
    </x:row>
    <x:row r="80" ht="23" customHeight="1">
      <x:c r="A80" s="2"/>
      <x:c r="B80" s="2"/>
      <x:c r="C80" s="18" t="str">
        <x:v>Nominal discount rate — active</x:v>
      </x:c>
      <x:c r="D80" s="18"/>
      <x:c r="E80" s="66" t="n">
        <x:f>IF(G80="OK",CHOOSE($E$5,E81,E82,E83),NA())</x:f>
        <x:v>0.085</x:v>
      </x:c>
      <x:c r="F80" s="2"/>
      <x:c r="G80" s="78" t="str">
        <x:f>IFERROR(CHOOSE($E$5,G81,G82,G83),"INVALID: selector")</x:f>
        <x:v>OK</x:v>
      </x:c>
      <x:c r="H80" s="2"/>
      <x:c r="I80" s="2"/>
      <x:c r="J80" s="2"/>
      <x:c r="K80" s="2"/>
    </x:row>
    <x:row r="81" ht="23" customHeight="1">
      <x:c r="A81" s="2"/>
      <x:c r="B81" s="2"/>
      <x:c r="C81" s="2" t="str">
        <x:v>Base</x:v>
      </x:c>
      <x:c r="D81" s="2"/>
      <x:c r="E81" s="13" t="n">
        <x:v>0.085</x:v>
      </x:c>
      <x:c r="F81" s="2"/>
      <x:c r="G81" s="78" t="str">
        <x:f>IF(IFERROR(AND(ISNUMBER(E81),E81&gt;=0,E81&lt;=1),FALSE),"OK","INVALID: discount rate")</x:f>
        <x:v>OK</x:v>
      </x:c>
      <x:c r="H81" s="2"/>
      <x:c r="I81" s="2"/>
      <x:c r="J81" s="2"/>
      <x:c r="K81" s="2"/>
    </x:row>
    <x:row r="82" ht="23" customHeight="1">
      <x:c r="A82" s="2"/>
      <x:c r="B82" s="2"/>
      <x:c r="C82" s="2" t="str">
        <x:v>Optimistic</x:v>
      </x:c>
      <x:c r="D82" s="2"/>
      <x:c r="E82" s="13" t="n">
        <x:v>0.07</x:v>
      </x:c>
      <x:c r="F82" s="2"/>
      <x:c r="G82" s="78" t="str">
        <x:f>IF(IFERROR(AND(ISNUMBER(E82),E82&gt;=0,E82&lt;=1),FALSE),"OK","INVALID: discount rate")</x:f>
        <x:v>OK</x:v>
      </x:c>
      <x:c r="H82" s="2"/>
      <x:c r="I82" s="2"/>
      <x:c r="J82" s="2"/>
      <x:c r="K82" s="2"/>
    </x:row>
    <x:row r="83" ht="23" customHeight="1">
      <x:c r="A83" s="2"/>
      <x:c r="B83" s="2"/>
      <x:c r="C83" s="2" t="str">
        <x:v>Downside</x:v>
      </x:c>
      <x:c r="D83" s="2"/>
      <x:c r="E83" s="13" t="n">
        <x:v>0.11</x:v>
      </x:c>
      <x:c r="F83" s="2"/>
      <x:c r="G83" s="78" t="str">
        <x:f>IF(IFERROR(AND(ISNUMBER(E83),E83&gt;=0,E83&lt;=1),FALSE),"OK","INVALID: discount rate")</x:f>
        <x:v>OK</x:v>
      </x:c>
      <x:c r="H83" s="2"/>
      <x:c r="I83" s="2"/>
      <x:c r="J83" s="2"/>
      <x:c r="K83" s="2"/>
    </x:row>
    <x:row r="84" ht="23" customHeight="1">
      <x:c r="A84" s="2"/>
      <x:c r="B84" s="2"/>
      <x:c r="C84" s="2"/>
      <x:c r="D84" s="2"/>
      <x:c r="E84" s="2"/>
      <x:c r="F84" s="2"/>
      <x:c r="G84" s="2" t="str">
        <x:v>Price &gt;= 0; capital 0.01-100; discount rate 0-100%.</x:v>
      </x:c>
      <x:c r="H84" s="2"/>
      <x:c r="I84" s="2"/>
      <x:c r="J84" s="2"/>
      <x:c r="K84" s="2"/>
    </x:row>
    <x:row r="85" ht="28" customHeight="1">
      <x:c r="A85" s="2"/>
      <x:c r="B85" s="2"/>
      <x:c r="C85" s="11" t="str">
        <x:v>Subjective scenario weights</x:v>
      </x:c>
      <x:c r="D85" s="11" t="str">
        <x:v>Unit</x:v>
      </x:c>
      <x:c r="E85" s="11" t="str">
        <x:v>Base</x:v>
      </x:c>
      <x:c r="F85" s="11" t="str">
        <x:v>Optimistic</x:v>
      </x:c>
      <x:c r="G85" s="11" t="str">
        <x:v>Downside</x:v>
      </x:c>
      <x:c r="H85" s="2"/>
      <x:c r="I85" s="2"/>
      <x:c r="J85" s="2"/>
      <x:c r="K85" s="2"/>
    </x:row>
    <x:row r="86" ht="23" customHeight="1">
      <x:c r="A86" s="2"/>
      <x:c r="B86" s="2"/>
      <x:c r="C86" s="2"/>
      <x:c r="D86" s="2"/>
      <x:c r="E86" s="13" t="n">
        <x:v>0.5</x:v>
      </x:c>
      <x:c r="F86" s="13" t="n">
        <x:v>0.2</x:v>
      </x:c>
      <x:c r="G86" s="13" t="n">
        <x:v>0.3</x:v>
      </x:c>
      <x:c r="H86" s="2"/>
      <x:c r="I86" s="2"/>
      <x:c r="J86" s="2"/>
      <x:c r="K86" s="2"/>
    </x:row>
    <x:row r="87" ht="23" customHeight="1">
      <x:c r="A87" s="2"/>
      <x:c r="B87" s="2"/>
      <x:c r="C87" s="2"/>
      <x:c r="D87" s="2"/>
      <x:c r="E87" s="2"/>
      <x:c r="F87" s="2"/>
      <x:c r="G87" s="78" t="str">
        <x:f>IF(AND(COUNT(E86:G86)=3,MIN(E86:G86)&gt;=0,MAX(E86:G86)&lt;=1,ABS(SUM(E86:G86)-1)&lt;=1E-8),"Weights valid","INVALID: weights must total 1")</x:f>
        <x:v>Weights valid</x:v>
      </x:c>
      <x:c r="H87" s="2"/>
      <x:c r="I87" s="2"/>
      <x:c r="J87" s="2"/>
      <x:c r="K87" s="2"/>
    </x:row>
    <x:row r="88" ht="23" customHeight="1">
      <x:c r="A88" s="2"/>
      <x:c r="B88" s="2"/>
      <x:c r="C88" s="2"/>
      <x:c r="D88" s="2"/>
      <x:c r="E88" s="2"/>
      <x:c r="F88" s="2"/>
      <x:c r="G88" s="2"/>
      <x:c r="H88" s="2"/>
      <x:c r="I88" s="2"/>
      <x:c r="J88" s="2"/>
      <x:c r="K88" s="2"/>
    </x:row>
    <x:row r="89" ht="28" customHeight="1">
      <x:c r="A89" s="2"/>
      <x:c r="B89" s="2"/>
      <x:c r="C89" s="11" t="str">
        <x:v>Computer MACRS tax year</x:v>
      </x:c>
      <x:c r="D89" s="11" t="n">
        <x:v>1</x:v>
      </x:c>
      <x:c r="E89" s="11" t="n">
        <x:v>2</x:v>
      </x:c>
      <x:c r="F89" s="11" t="n">
        <x:v>3</x:v>
      </x:c>
      <x:c r="G89" s="11" t="n">
        <x:v>4</x:v>
      </x:c>
      <x:c r="H89" s="11" t="n">
        <x:v>5</x:v>
      </x:c>
      <x:c r="I89" s="11" t="n">
        <x:v>6</x:v>
      </x:c>
      <x:c r="J89" s="2"/>
      <x:c r="K89" s="2"/>
    </x:row>
    <x:row r="90" ht="23" customHeight="1">
      <x:c r="A90" s="2"/>
      <x:c r="B90" s="2"/>
      <x:c r="C90" s="2" t="str">
        <x:v>5-year half-year percentages</x:v>
      </x:c>
      <x:c r="D90" s="26" t="n">
        <x:v>0.2</x:v>
      </x:c>
      <x:c r="E90" s="26" t="n">
        <x:v>0.32</x:v>
      </x:c>
      <x:c r="F90" s="26" t="n">
        <x:v>0.192</x:v>
      </x:c>
      <x:c r="G90" s="26" t="n">
        <x:v>0.1152</x:v>
      </x:c>
      <x:c r="H90" s="26" t="n">
        <x:v>0.1152</x:v>
      </x:c>
      <x:c r="I90" s="26" t="n">
        <x:v>0.0576</x:v>
      </x:c>
      <x:c r="J90" s="2"/>
      <x:c r="K90" s="2"/>
    </x:row>
    <x:row r="91" ht="23" customHeight="1">
      <x:c r="A91" s="2"/>
      <x:c r="B91" s="2"/>
      <x:c r="C91" s="2"/>
      <x:c r="D91" s="2"/>
      <x:c r="E91" s="2"/>
      <x:c r="F91" s="2"/>
      <x:c r="G91" s="78" t="str">
        <x:f>IF(AND(COUNT(D90:I90)=6,MIN(D90:I90)&gt;=0,MAX(D90:I90)&lt;=1,ABS(SUM(D90:I90)-1)&lt;=1E-8),"MACRS valid","INVALID: MACRS fractions")</x:f>
        <x:v>MACRS valid</x:v>
      </x:c>
      <x:c r="H91" s="2"/>
      <x:c r="I91" s="2"/>
      <x:c r="J91" s="2"/>
      <x:c r="K91" s="2"/>
    </x:row>
    <x:row r="92" ht="23" customHeight="1">
      <x:c r="A92" s="2"/>
      <x:c r="B92" s="2"/>
      <x:c r="C92" s="2"/>
      <x:c r="D92" s="2"/>
      <x:c r="E92" s="2"/>
      <x:c r="F92" s="2"/>
      <x:c r="G92" s="2"/>
      <x:c r="H92" s="2"/>
      <x:c r="I92" s="2"/>
      <x:c r="J92" s="2"/>
      <x:c r="K92" s="2"/>
    </x:row>
    <x:row r="93" ht="28" customHeight="1">
      <x:c r="A93" s="2"/>
      <x:c r="B93" s="2"/>
      <x:c r="C93" s="11" t="str">
        <x:v>LL97 screening coefficients</x:v>
      </x:c>
      <x:c r="D93" s="11" t="str">
        <x:v>Unit</x:v>
      </x:c>
      <x:c r="E93" s="11" t="str">
        <x:v>Value</x:v>
      </x:c>
      <x:c r="F93" s="2"/>
      <x:c r="G93" s="2"/>
      <x:c r="H93" s="2"/>
      <x:c r="I93" s="2"/>
      <x:c r="J93" s="2"/>
      <x:c r="K93" s="2"/>
    </x:row>
    <x:row r="94" ht="23" customHeight="1">
      <x:c r="A94" s="2"/>
      <x:c r="B94" s="2"/>
      <x:c r="C94" s="2" t="str">
        <x:v>2024–2029 office limit</x:v>
      </x:c>
      <x:c r="D94" s="2" t="str">
        <x:v>tCO2e/sq ft</x:v>
      </x:c>
      <x:c r="E94" s="27" t="n">
        <x:v>0.00758</x:v>
      </x:c>
      <x:c r="F94" s="2"/>
      <x:c r="G94" s="2"/>
      <x:c r="H94" s="2"/>
      <x:c r="I94" s="2"/>
      <x:c r="J94" s="2"/>
      <x:c r="K94" s="2"/>
    </x:row>
    <x:row r="95" ht="23" customHeight="1">
      <x:c r="A95" s="2"/>
      <x:c r="B95" s="2"/>
      <x:c r="C95" s="2" t="str">
        <x:v>2030–2034 office limit</x:v>
      </x:c>
      <x:c r="D95" s="2" t="str">
        <x:v>tCO2e/sq ft</x:v>
      </x:c>
      <x:c r="E95" s="27" t="n">
        <x:v>0.002690852</x:v>
      </x:c>
      <x:c r="F95" s="2"/>
      <x:c r="G95" s="2"/>
      <x:c r="H95" s="2"/>
      <x:c r="I95" s="2"/>
      <x:c r="J95" s="2"/>
      <x:c r="K95" s="2"/>
    </x:row>
    <x:row r="96" ht="23" customHeight="1">
      <x:c r="A96" s="2"/>
      <x:c r="B96" s="2"/>
      <x:c r="C96" s="2" t="str">
        <x:v>2024–2029 electricity factor</x:v>
      </x:c>
      <x:c r="D96" s="2" t="str">
        <x:v>tCO2e/kWh</x:v>
      </x:c>
      <x:c r="E96" s="27" t="n">
        <x:v>0.000288962</x:v>
      </x:c>
      <x:c r="F96" s="2"/>
      <x:c r="G96" s="2"/>
      <x:c r="H96" s="2"/>
      <x:c r="I96" s="2"/>
      <x:c r="J96" s="2"/>
      <x:c r="K96" s="2"/>
    </x:row>
    <x:row r="97" ht="23" customHeight="1">
      <x:c r="A97" s="2"/>
      <x:c r="B97" s="2"/>
      <x:c r="C97" s="2" t="str">
        <x:v>2030–2034 electricity factor</x:v>
      </x:c>
      <x:c r="D97" s="2" t="str">
        <x:v>tCO2e/kWh</x:v>
      </x:c>
      <x:c r="E97" s="27" t="n">
        <x:v>0.000145</x:v>
      </x:c>
      <x:c r="F97" s="2"/>
      <x:c r="G97" s="2"/>
      <x:c r="H97" s="2"/>
      <x:c r="I97" s="2"/>
      <x:c r="J97" s="2"/>
      <x:c r="K97" s="2"/>
    </x:row>
    <x:row r="98" ht="23" customHeight="1">
      <x:c r="A98" s="2"/>
      <x:c r="B98" s="2"/>
      <x:c r="C98" s="2" t="str">
        <x:v>Natural gas factor</x:v>
      </x:c>
      <x:c r="D98" s="2" t="str">
        <x:v>tCO2e/kBtu</x:v>
      </x:c>
      <x:c r="E98" s="27" t="n">
        <x:v>0.00005311</x:v>
      </x:c>
      <x:c r="F98" s="2"/>
      <x:c r="G98" s="2"/>
      <x:c r="H98" s="2"/>
      <x:c r="I98" s="2"/>
      <x:c r="J98" s="2"/>
      <x:c r="K98" s="2"/>
    </x:row>
    <x:row r="99" ht="23" customHeight="1">
      <x:c r="A99" s="2"/>
      <x:c r="B99" s="2"/>
      <x:c r="C99" s="2" t="str">
        <x:v>Potential excess-emissions penalty</x:v>
      </x:c>
      <x:c r="D99" s="2" t="str">
        <x:v>USD/tCO2e</x:v>
      </x:c>
      <x:c r="E99" s="12" t="n">
        <x:v>268</x:v>
      </x:c>
      <x:c r="F99" s="2"/>
      <x:c r="G99" s="2"/>
      <x:c r="H99" s="2"/>
      <x:c r="I99" s="2"/>
      <x:c r="J99" s="2"/>
      <x:c r="K99" s="2"/>
    </x:row>
    <x:row r="100" ht="23" customHeight="1">
      <x:c r="A100" s="2"/>
      <x:c r="B100" s="2"/>
      <x:c r="C100" s="2" t="str">
        <x:v>Therm conversion</x:v>
      </x:c>
      <x:c r="D100" s="2" t="str">
        <x:v>kBtu/therm</x:v>
      </x:c>
      <x:c r="E100" s="12" t="n">
        <x:v>100</x:v>
      </x:c>
      <x:c r="F100" s="2"/>
      <x:c r="G100" s="2"/>
      <x:c r="H100" s="2"/>
      <x:c r="I100" s="2"/>
      <x:c r="J100" s="2"/>
      <x:c r="K100" s="2"/>
    </x:row>
    <x:row r="101" ht="23" customHeight="1">
      <x:c r="A101" s="2"/>
      <x:c r="B101" s="2"/>
      <x:c r="C101" s="2"/>
      <x:c r="D101" s="2"/>
      <x:c r="E101" s="2"/>
      <x:c r="F101" s="2"/>
      <x:c r="G101" s="2"/>
      <x:c r="H101" s="2"/>
      <x:c r="I101" s="2"/>
      <x:c r="J101" s="2"/>
      <x:c r="K101" s="2"/>
    </x:row>
    <x:row r="102" ht="23" customHeight="1">
      <x:c r="A102" s="2"/>
      <x:c r="B102" s="2"/>
      <x:c r="C102" s="2"/>
      <x:c r="D102" s="2"/>
      <x:c r="E102" s="2"/>
      <x:c r="F102" s="2"/>
      <x:c r="G102" s="2"/>
      <x:c r="H102" s="2"/>
      <x:c r="I102" s="2"/>
      <x:c r="J102" s="2"/>
      <x:c r="K102" s="2"/>
    </x:row>
    <x:row r="103" ht="23" customHeight="1">
      <x:c r="A103" s="2"/>
      <x:c r="B103" s="2"/>
      <x:c r="C103" s="5" t="str">
        <x:v>LL97 inputs are carried from the source PDF; this rebuild does not certify current compliance.</x:v>
      </x:c>
      <x:c r="D103" s="2"/>
      <x:c r="E103" s="2"/>
      <x:c r="F103" s="2"/>
      <x:c r="G103" s="2"/>
      <x:c r="H103" s="2"/>
      <x:c r="I103" s="2"/>
      <x:c r="J103" s="2"/>
      <x:c r="K103" s="2"/>
    </x:row>
    <x:row r="104" ht="23" customHeight="1">
      <x:c r="A104" s="2"/>
      <x:c r="B104" s="2"/>
      <x:c r="C104" s="5" t="str">
        <x:v>Rebates and carbon penalties are excluded from every financial scenario.</x:v>
      </x:c>
      <x:c r="D104" s="2"/>
      <x:c r="E104" s="2"/>
      <x:c r="F104" s="2"/>
      <x:c r="G104" s="2"/>
      <x:c r="H104" s="2"/>
      <x:c r="I104" s="2"/>
      <x:c r="J104" s="2"/>
      <x:c r="K104" s="2"/>
    </x:row>
    <x:row r="105" ht="23" customHeight="1">
      <x:c r="A105" s="2"/>
      <x:c r="B105" s="2"/>
      <x:c r="C105" s="5" t="str">
        <x:v>Scenario weights are subjective stress-test weights, not estimated probabilities.</x:v>
      </x:c>
      <x:c r="D105" s="2"/>
      <x:c r="E105" s="2"/>
      <x:c r="F105" s="2"/>
      <x:c r="G105" s="2"/>
      <x:c r="H105" s="2"/>
      <x:c r="I105" s="2"/>
      <x:c r="J105" s="2"/>
      <x:c r="K105" s="2"/>
    </x:row>
    <x:row r="106" ht="23" customHeight="1">
      <x:c r="A106" s="2"/>
      <x:c r="B106" s="2"/>
      <x:c r="C106" s="5" t="str">
        <x:v>Budget and performance inputs are planning estimates. Sources do not establish site-specific results.</x:v>
      </x:c>
      <x:c r="D106" s="2"/>
      <x:c r="E106" s="2"/>
      <x:c r="F106" s="2"/>
      <x:c r="G106" s="2"/>
      <x:c r="H106" s="2"/>
      <x:c r="I106" s="2"/>
      <x:c r="J106" s="2"/>
      <x:c r="K106" s="2"/>
    </x:row>
    <x:row r="107" ht="23" customHeight="1">
      <x:c r="A107" s="2"/>
      <x:c r="B107" s="2"/>
      <x:c r="C107" s="2"/>
      <x:c r="D107" s="2"/>
      <x:c r="E107" s="2"/>
      <x:c r="F107" s="2"/>
      <x:c r="G107" s="2"/>
      <x:c r="H107" s="2"/>
      <x:c r="I107" s="2"/>
      <x:c r="J107" s="2"/>
      <x:c r="K107" s="2"/>
    </x:row>
    <x:row r="108" ht="23" customHeight="1">
      <x:c r="A108" s="2"/>
      <x:c r="B108" s="2"/>
      <x:c r="C108" s="2"/>
      <x:c r="D108" s="2"/>
      <x:c r="E108" s="2"/>
      <x:c r="F108" s="2"/>
      <x:c r="G108" s="2"/>
      <x:c r="H108" s="2"/>
      <x:c r="I108" s="2"/>
      <x:c r="J108" s="2"/>
      <x:c r="K108" s="2"/>
    </x:row>
    <x:row r="109" ht="23" customHeight="1">
      <x:c r="A109" s="2"/>
      <x:c r="B109" s="2"/>
      <x:c r="C109" s="2"/>
      <x:c r="D109" s="2"/>
      <x:c r="E109" s="2"/>
      <x:c r="F109" s="2"/>
      <x:c r="G109" s="2"/>
      <x:c r="H109" s="2"/>
      <x:c r="I109" s="2"/>
      <x:c r="J109" s="2"/>
      <x:c r="K109" s="2"/>
    </x:row>
    <x:row r="110" ht="23" customHeight="1">
      <x:c r="A110" s="2"/>
      <x:c r="B110" s="2"/>
      <x:c r="C110" s="2"/>
      <x:c r="D110" s="2"/>
      <x:c r="E110" s="2"/>
      <x:c r="F110" s="2"/>
      <x:c r="G110" s="2"/>
      <x:c r="H110" s="2"/>
      <x:c r="I110" s="2"/>
      <x:c r="J110" s="2"/>
      <x:c r="K110" s="2"/>
    </x:row>
  </x:sheetData>
  <x:conditionalFormatting sqref="G6:G6">
    <x:cfRule type="containsText" dxfId="1" priority="1" operator="containsText" text="INVALID"/>
  </x:conditionalFormatting>
  <x:conditionalFormatting sqref="G60:G83">
    <x:cfRule type="containsText" dxfId="2" priority="2" operator="containsText" text="INVALID"/>
  </x:conditionalFormatting>
  <x:conditionalFormatting sqref="G87:G87">
    <x:cfRule type="containsText" dxfId="3" priority="3" operator="containsText" text="INVALID"/>
  </x:conditionalFormatting>
  <x:conditionalFormatting sqref="G91:G91">
    <x:cfRule type="containsText" dxfId="4" priority="4" operator="containsText" text="INVALID"/>
  </x:conditionalFormatting>
  <x:dataValidations count="33">
    <x:dataValidation type="whole" errorStyle="stop" operator="between" showErrorMessage="1" errorTitle="Invalid scenario" error="Enter 1 for Base, 2 for Optimistic, or 3 for Downside." sqref="E5">
      <x:formula1>1</x:formula1>
      <x:formula2>3</x:formula2>
    </x:dataValidation>
    <x:dataValidation type="decimal" operator="between" sqref="E18">
      <x:formula1>0</x:formula1>
      <x:formula2>1</x:formula2>
    </x:dataValidation>
    <x:dataValidation type="decimal" operator="between" sqref="E22">
      <x:formula1>0</x:formula1>
      <x:formula2>1</x:formula2>
    </x:dataValidation>
    <x:dataValidation type="decimal" operator="between" sqref="E25">
      <x:formula1>0</x:formula1>
      <x:formula2>1</x:formula2>
    </x:dataValidation>
    <x:dataValidation type="whole" operator="between" sqref="E23">
      <x:formula1>1</x:formula1>
      <x:formula2>100</x:formula2>
    </x:dataValidation>
    <x:dataValidation type="whole" operator="between" sqref="E24">
      <x:formula1>1</x:formula1>
      <x:formula2>100</x:formula2>
    </x:dataValidation>
    <x:dataValidation type="whole" operator="between" sqref="E29">
      <x:formula1>1</x:formula1>
      <x:formula2>100</x:formula2>
    </x:dataValidation>
    <x:dataValidation type="whole" operator="between" sqref="E27">
      <x:formula1>1</x:formula1>
      <x:formula2>12</x:formula2>
    </x:dataValidation>
    <x:dataValidation type="whole" operator="between" sqref="E28">
      <x:formula1>1</x:formula1>
      <x:formula2>12</x:formula2>
    </x:dataValidation>
    <x:dataValidation type="whole" operator="between" sqref="E54">
      <x:formula1>0</x:formula1>
      <x:formula2>10</x:formula2>
    </x:dataValidation>
    <x:dataValidation type="whole" operator="between" sqref="F54">
      <x:formula1>0</x:formula1>
      <x:formula2>10</x:formula2>
    </x:dataValidation>
    <x:dataValidation type="whole" operator="between" sqref="G54">
      <x:formula1>0</x:formula1>
      <x:formula2>10</x:formula2>
    </x:dataValidation>
    <x:dataValidation type="whole" operator="between" sqref="E56">
      <x:formula1>0</x:formula1>
      <x:formula2>10</x:formula2>
    </x:dataValidation>
    <x:dataValidation type="whole" operator="between" sqref="F56">
      <x:formula1>0</x:formula1>
      <x:formula2>10</x:formula2>
    </x:dataValidation>
    <x:dataValidation type="whole" operator="between" sqref="G56">
      <x:formula1>0</x:formula1>
      <x:formula2>10</x:formula2>
    </x:dataValidation>
    <x:dataValidation type="custom" errorStyle="stop" showErrorMessage="1" errorTitle="Invalid model input" error="Enter a numeric value within the stated model limits." sqref="E61">
      <x:formula1>IFERROR(AND(ISNUMBER(E61),E61&gt;=0),FALSE)</x:formula1>
    </x:dataValidation>
    <x:dataValidation type="custom" errorStyle="stop" showErrorMessage="1" errorTitle="Invalid model input" error="Enter a numeric value within the stated model limits." sqref="E62">
      <x:formula1>IFERROR(AND(ISNUMBER(E62),E62&gt;=0),FALSE)</x:formula1>
    </x:dataValidation>
    <x:dataValidation type="custom" errorStyle="stop" showErrorMessage="1" errorTitle="Invalid model input" error="Enter a numeric value within the stated model limits." sqref="E63">
      <x:formula1>IFERROR(AND(ISNUMBER(E63),E63&gt;=0),FALSE)</x:formula1>
    </x:dataValidation>
    <x:dataValidation type="custom" errorStyle="stop" showErrorMessage="1" errorTitle="Invalid model input" error="Enter a nonnegative realization that leaves both upgrades with nonnegative annual kWh." sqref="E66">
      <x:formula1>IFERROR(AND(ISNUMBER(E66),E66&gt;=0,INDIRECT("'Energy'!$F$18")-MAX(INDIRECT("'Energy'!$G$19:$H$19"))*E66&gt;=0),FALSE)</x:formula1>
    </x:dataValidation>
    <x:dataValidation type="custom" errorStyle="stop" showErrorMessage="1" errorTitle="Invalid model input" error="Enter a nonnegative realization that leaves both upgrades with nonnegative annual kWh." sqref="E67">
      <x:formula1>IFERROR(AND(ISNUMBER(E67),E67&gt;=0,INDIRECT("'Energy'!$F$18")-MAX(INDIRECT("'Energy'!$G$19:$H$19"))*E67&gt;=0),FALSE)</x:formula1>
    </x:dataValidation>
    <x:dataValidation type="custom" errorStyle="stop" showErrorMessage="1" errorTitle="Invalid model input" error="Enter a nonnegative realization that leaves both upgrades with nonnegative annual kWh." sqref="E68">
      <x:formula1>IFERROR(AND(ISNUMBER(E68),E68&gt;=0,INDIRECT("'Energy'!$F$18")-MAX(INDIRECT("'Energy'!$G$19:$H$19"))*E68&gt;=0),FALSE)</x:formula1>
    </x:dataValidation>
    <x:dataValidation type="custom" errorStyle="stop" showErrorMessage="1" errorTitle="Invalid model input" error="Enter a capital multiplier from 0.01 to 100. Zero, negative and blank inputs are invalid." sqref="E71">
      <x:formula1>IFERROR(AND(ISNUMBER(E71),E71&gt;=0.01,E71&lt;=100),FALSE)</x:formula1>
    </x:dataValidation>
    <x:dataValidation type="custom" errorStyle="stop" showErrorMessage="1" errorTitle="Invalid model input" error="Enter a capital multiplier from 0.01 to 100. Zero, negative and blank inputs are invalid." sqref="E72">
      <x:formula1>IFERROR(AND(ISNUMBER(E72),E72&gt;=0.01,E72&lt;=100),FALSE)</x:formula1>
    </x:dataValidation>
    <x:dataValidation type="custom" errorStyle="stop" showErrorMessage="1" errorTitle="Invalid model input" error="Enter a capital multiplier from 0.01 to 100. Zero, negative and blank inputs are invalid." sqref="E73">
      <x:formula1>IFERROR(AND(ISNUMBER(E73),E73&gt;=0.01,E73&lt;=100),FALSE)</x:formula1>
    </x:dataValidation>
    <x:dataValidation type="custom" errorStyle="stop" showErrorMessage="1" errorTitle="Invalid model input" error="Enter a nonnegative realization that leaves both upgrades with nonnegative maintenance and repair costs." sqref="E76">
      <x:formula1>IFERROR(AND(ISNUMBER(E76),E76&gt;=0,SUM($E$47:$E$48)-MAX(SUM($E$47:$E$48)-SUM($F$47:$F$48),SUM($E$47:$E$48)-SUM($G$47:$G$48))*E76&gt;=0),FALSE)</x:formula1>
    </x:dataValidation>
    <x:dataValidation type="custom" errorStyle="stop" showErrorMessage="1" errorTitle="Invalid model input" error="Enter a nonnegative realization that leaves both upgrades with nonnegative maintenance and repair costs." sqref="E77">
      <x:formula1>IFERROR(AND(ISNUMBER(E77),E77&gt;=0,SUM($E$47:$E$48)-MAX(SUM($E$47:$E$48)-SUM($F$47:$F$48),SUM($E$47:$E$48)-SUM($G$47:$G$48))*E77&gt;=0),FALSE)</x:formula1>
    </x:dataValidation>
    <x:dataValidation type="custom" errorStyle="stop" showErrorMessage="1" errorTitle="Invalid model input" error="Enter a nonnegative realization that leaves both upgrades with nonnegative maintenance and repair costs." sqref="E78">
      <x:formula1>IFERROR(AND(ISNUMBER(E78),E78&gt;=0,SUM($E$47:$E$48)-MAX(SUM($E$47:$E$48)-SUM($F$47:$F$48),SUM($E$47:$E$48)-SUM($G$47:$G$48))*E78&gt;=0),FALSE)</x:formula1>
    </x:dataValidation>
    <x:dataValidation type="custom" errorStyle="stop" showErrorMessage="1" errorTitle="Invalid model input" error="Enter a numeric value within the stated model limits." sqref="E81">
      <x:formula1>IFERROR(AND(ISNUMBER(E81),E81&gt;=0,E81&lt;=1),FALSE)</x:formula1>
    </x:dataValidation>
    <x:dataValidation type="custom" errorStyle="stop" showErrorMessage="1" errorTitle="Invalid model input" error="Enter a numeric value within the stated model limits." sqref="E82">
      <x:formula1>IFERROR(AND(ISNUMBER(E82),E82&gt;=0,E82&lt;=1),FALSE)</x:formula1>
    </x:dataValidation>
    <x:dataValidation type="custom" errorStyle="stop" showErrorMessage="1" errorTitle="Invalid model input" error="Enter a numeric value within the stated model limits." sqref="E83">
      <x:formula1>IFERROR(AND(ISNUMBER(E83),E83&gt;=0,E83&lt;=1),FALSE)</x:formula1>
    </x:dataValidation>
    <x:dataValidation type="decimal" operator="between" sqref="E86">
      <x:formula1>0</x:formula1>
      <x:formula2>1</x:formula2>
    </x:dataValidation>
    <x:dataValidation type="decimal" operator="between" sqref="F86">
      <x:formula1>0</x:formula1>
      <x:formula2>1</x:formula2>
    </x:dataValidation>
    <x:dataValidation type="decimal" operator="between" sqref="G86">
      <x:formula1>0</x:formula1>
      <x:formula2>1</x:formula2>
    </x:dataValidation>
  </x:dataValidations>
  <x:printOptions horizontalCentered="1" headings="0" gridLines="0"/>
  <x:pageMargins left="0.3" right="0.3" top="0.35" bottom="0.35" header="0.15" footer="0.15"/>
  <x:pageSetup paperSize="3" orientation="landscape" fitToWidth="1" fitToHeight="0"/>
  <x:headerFooter>
    <x:oddFooter>&amp;L&amp;"Times New Roman,Regular"&amp;9Assumptions&amp;RPage &amp;P of &amp;N</x:oddFooter>
  </x:headerFooter>
</x:worksheet>
</file>

<file path=xl/worksheets/sheet3.xml><?xml version="1.0" encoding="utf-8"?>
<x:worksheet xmlns:x="http://schemas.openxmlformats.org/spreadsheetml/2006/main">
  <x:sheetPr>
    <x:pageSetUpPr fitToPage="1"/>
  </x:sheetPr>
  <x:sheetViews>
    <x:sheetView showGridLines="0" workbookViewId="0">
      <x:pane ySplit="7" topLeftCell="A8" activePane="bottomLeft" state="frozen"/>
    </x:sheetView>
  </x:sheetViews>
  <x:sheetFormatPr defaultRowHeight="15"/>
  <x:cols>
    <x:col min="1" max="1" width="3" hidden="0" customWidth="1"/>
    <x:col min="2" max="2" width="3" hidden="0" customWidth="1"/>
    <x:col min="3" max="3" width="43" hidden="0" customWidth="1"/>
    <x:col min="4" max="4" width="15" hidden="0" customWidth="1"/>
    <x:col min="5" max="5" width="15" hidden="0" customWidth="1"/>
    <x:col min="6" max="6" width="15" hidden="0" customWidth="1"/>
    <x:col min="7" max="7" width="15" hidden="0" customWidth="1"/>
    <x:col min="8" max="8" width="15" hidden="0" customWidth="1"/>
    <x:col min="9" max="9" width="15" hidden="0" customWidth="1"/>
    <x:col min="10" max="10" width="15" hidden="0" customWidth="1"/>
    <x:col min="11" max="11" width="15" hidden="0" customWidth="1"/>
  </x:cols>
  <x:sheetData>
    <x:row r="1" ht="23" customHeight="1">
      <x:c r="A1" s="2"/>
      <x:c r="B1" s="2"/>
      <x:c r="C1" s="2"/>
      <x:c r="D1" s="2"/>
      <x:c r="E1" s="2"/>
      <x:c r="F1" s="2"/>
      <x:c r="G1" s="2"/>
      <x:c r="H1" s="2"/>
      <x:c r="I1" s="2"/>
      <x:c r="J1" s="2"/>
      <x:c r="K1" s="2"/>
    </x:row>
    <x:row r="2" ht="23" customHeight="1">
      <x:c r="A2" s="2"/>
      <x:c r="B2" s="2"/>
      <x:c r="C2" s="3" t="str">
        <x:v>Capital expenditure budget</x:v>
      </x:c>
      <x:c r="D2" s="2"/>
      <x:c r="E2" s="2"/>
      <x:c r="F2" s="2"/>
      <x:c r="G2" s="2"/>
      <x:c r="H2" s="2"/>
      <x:c r="I2" s="2"/>
      <x:c r="J2" s="2"/>
      <x:c r="K2" s="2"/>
    </x:row>
    <x:row r="3" ht="23" customHeight="1">
      <x:c r="A3" s="2"/>
      <x:c r="B3" s="2"/>
      <x:c r="C3" s="5" t="str">
        <x:v>Planning allowances in year 0 USD. No supplier quotation validates these amounts.</x:v>
      </x:c>
      <x:c r="D3" s="2"/>
      <x:c r="E3" s="2"/>
      <x:c r="F3" s="2"/>
      <x:c r="G3" s="2"/>
      <x:c r="H3" s="2"/>
      <x:c r="I3" s="2"/>
      <x:c r="J3" s="2"/>
      <x:c r="K3" s="2"/>
    </x:row>
    <x:row r="4" ht="23" customHeight="1">
      <x:c r="A4" s="2"/>
      <x:c r="B4" s="2"/>
      <x:c r="C4" s="2"/>
      <x:c r="D4" s="2"/>
      <x:c r="E4" s="2"/>
      <x:c r="F4" s="2"/>
      <x:c r="G4" s="2"/>
      <x:c r="H4" s="2"/>
      <x:c r="I4" s="2"/>
      <x:c r="J4" s="2"/>
      <x:c r="K4" s="2"/>
    </x:row>
    <x:row r="5" ht="23" customHeight="1">
      <x:c r="A5" s="2"/>
      <x:c r="B5" s="2"/>
      <x:c r="C5" s="2" t="str">
        <x:v>Selected scenario</x:v>
      </x:c>
      <x:c r="D5" s="56" t="str">
        <x:f>'Assumptions'!E6</x:f>
        <x:v>Base</x:v>
      </x:c>
      <x:c r="E5" s="2"/>
      <x:c r="F5" s="2"/>
      <x:c r="G5" s="2"/>
      <x:c r="H5" s="2"/>
      <x:c r="I5" s="2"/>
      <x:c r="J5" s="2"/>
      <x:c r="K5" s="2"/>
    </x:row>
    <x:row r="6" ht="23" customHeight="1">
      <x:c r="A6" s="2"/>
      <x:c r="B6" s="2"/>
      <x:c r="C6" s="2"/>
      <x:c r="D6" s="2"/>
      <x:c r="E6" s="2"/>
      <x:c r="F6" s="2"/>
      <x:c r="G6" s="2"/>
      <x:c r="H6" s="2"/>
      <x:c r="I6" s="2"/>
      <x:c r="J6" s="2"/>
      <x:c r="K6" s="2"/>
    </x:row>
    <x:row r="7" ht="28" customHeight="1">
      <x:c r="A7" s="2"/>
      <x:c r="B7" s="2"/>
      <x:c r="C7" s="11" t="str">
        <x:v>Budget item</x:v>
      </x:c>
      <x:c r="D7" s="11" t="str">
        <x:v>B qty</x:v>
      </x:c>
      <x:c r="E7" s="11" t="str">
        <x:v>B unit cost</x:v>
      </x:c>
      <x:c r="F7" s="11" t="str">
        <x:v>B total</x:v>
      </x:c>
      <x:c r="G7" s="11" t="str">
        <x:v>C qty</x:v>
      </x:c>
      <x:c r="H7" s="11" t="str">
        <x:v>C unit cost</x:v>
      </x:c>
      <x:c r="I7" s="11" t="str">
        <x:v>C total</x:v>
      </x:c>
      <x:c r="J7" s="11" t="str">
        <x:v>Tax class</x:v>
      </x:c>
      <x:c r="K7" s="2"/>
    </x:row>
    <x:row r="8" ht="23" customHeight="1">
      <x:c r="A8" s="2"/>
      <x:c r="B8" s="2"/>
      <x:c r="C8" s="2" t="str">
        <x:v>Chillers: replacement / rebuild</x:v>
      </x:c>
      <x:c r="D8" s="12" t="n">
        <x:v>2</x:v>
      </x:c>
      <x:c r="E8" s="20" t="n">
        <x:v>650000</x:v>
      </x:c>
      <x:c r="F8" s="28" t="n">
        <x:f>D8*E8</x:f>
        <x:v>1300000</x:v>
      </x:c>
      <x:c r="G8" s="12" t="n">
        <x:v>2</x:v>
      </x:c>
      <x:c r="H8" s="20" t="n">
        <x:v>110000</x:v>
      </x:c>
      <x:c r="I8" s="28" t="n">
        <x:f>G8*H8</x:f>
        <x:v>220000</x:v>
      </x:c>
      <x:c r="J8" s="2" t="str">
        <x:v>Real</x:v>
      </x:c>
      <x:c r="K8" s="2"/>
    </x:row>
    <x:row r="9" ht="23" customHeight="1">
      <x:c r="A9" s="2"/>
      <x:c r="B9" s="2"/>
      <x:c r="C9" s="2" t="str">
        <x:v>Cooling tower refurbishment</x:v>
      </x:c>
      <x:c r="D9" s="12" t="n">
        <x:v>1</x:v>
      </x:c>
      <x:c r="E9" s="20" t="n">
        <x:v>300000</x:v>
      </x:c>
      <x:c r="F9" s="28" t="n">
        <x:f>D9*E9</x:f>
        <x:v>300000</x:v>
      </x:c>
      <x:c r="G9" s="12" t="n">
        <x:v>1</x:v>
      </x:c>
      <x:c r="H9" s="20" t="n">
        <x:v>75000</x:v>
      </x:c>
      <x:c r="I9" s="28" t="n">
        <x:f>G9*H9</x:f>
        <x:v>75000</x:v>
      </x:c>
      <x:c r="J9" s="2" t="str">
        <x:v>Real</x:v>
      </x:c>
      <x:c r="K9" s="2"/>
    </x:row>
    <x:row r="10" ht="23" customHeight="1">
      <x:c r="A10" s="2"/>
      <x:c r="B10" s="2"/>
      <x:c r="C10" s="2" t="str">
        <x:v>Pumps and variable-speed drives</x:v>
      </x:c>
      <x:c r="D10" s="12" t="n">
        <x:v>1</x:v>
      </x:c>
      <x:c r="E10" s="20" t="n">
        <x:v>250000</x:v>
      </x:c>
      <x:c r="F10" s="28" t="n">
        <x:f>D10*E10</x:f>
        <x:v>250000</x:v>
      </x:c>
      <x:c r="G10" s="12" t="n">
        <x:v>1</x:v>
      </x:c>
      <x:c r="H10" s="20" t="n">
        <x:v>120000</x:v>
      </x:c>
      <x:c r="I10" s="28" t="n">
        <x:f>G10*H10</x:f>
        <x:v>120000</x:v>
      </x:c>
      <x:c r="J10" s="2" t="str">
        <x:v>Real</x:v>
      </x:c>
      <x:c r="K10" s="2"/>
    </x:row>
    <x:row r="11" ht="23" customHeight="1">
      <x:c r="A11" s="2"/>
      <x:c r="B11" s="2"/>
      <x:c r="C11" s="2" t="str">
        <x:v>AHU fans, drives and dampers</x:v>
      </x:c>
      <x:c r="D11" s="12" t="n">
        <x:v>1</x:v>
      </x:c>
      <x:c r="E11" s="20" t="n">
        <x:v>350000</x:v>
      </x:c>
      <x:c r="F11" s="28" t="n">
        <x:f>D11*E11</x:f>
        <x:v>350000</x:v>
      </x:c>
      <x:c r="G11" s="12" t="n">
        <x:v>1</x:v>
      </x:c>
      <x:c r="H11" s="20" t="n">
        <x:v>150000</x:v>
      </x:c>
      <x:c r="I11" s="28" t="n">
        <x:f>G11*H11</x:f>
        <x:v>150000</x:v>
      </x:c>
      <x:c r="J11" s="2" t="str">
        <x:v>Real</x:v>
      </x:c>
      <x:c r="K11" s="2"/>
    </x:row>
    <x:row r="12" ht="23" customHeight="1">
      <x:c r="A12" s="2"/>
      <x:c r="B12" s="2"/>
      <x:c r="C12" s="2" t="str">
        <x:v>BAS, sensors and automation</x:v>
      </x:c>
      <x:c r="D12" s="12" t="n">
        <x:v>1</x:v>
      </x:c>
      <x:c r="E12" s="20" t="n">
        <x:v>450000</x:v>
      </x:c>
      <x:c r="F12" s="28" t="n">
        <x:f>D12*E12</x:f>
        <x:v>450000</x:v>
      </x:c>
      <x:c r="G12" s="12" t="n">
        <x:v>1</x:v>
      </x:c>
      <x:c r="H12" s="20" t="n">
        <x:v>250000</x:v>
      </x:c>
      <x:c r="I12" s="28" t="n">
        <x:f>G12*H12</x:f>
        <x:v>250000</x:v>
      </x:c>
      <x:c r="J12" s="2" t="str">
        <x:v>Real</x:v>
      </x:c>
      <x:c r="K12" s="2"/>
    </x:row>
    <x:row r="13" ht="23" customHeight="1">
      <x:c r="A13" s="2"/>
      <x:c r="B13" s="2"/>
      <x:c r="C13" s="2" t="str">
        <x:v>Installation labor</x:v>
      </x:c>
      <x:c r="D13" s="12" t="n">
        <x:v>1</x:v>
      </x:c>
      <x:c r="E13" s="20" t="n">
        <x:v>750000</x:v>
      </x:c>
      <x:c r="F13" s="28" t="n">
        <x:f>D13*E13</x:f>
        <x:v>750000</x:v>
      </x:c>
      <x:c r="G13" s="12" t="n">
        <x:v>1</x:v>
      </x:c>
      <x:c r="H13" s="20" t="n">
        <x:v>350000</x:v>
      </x:c>
      <x:c r="I13" s="28" t="n">
        <x:f>G13*H13</x:f>
        <x:v>350000</x:v>
      </x:c>
      <x:c r="J13" s="2" t="str">
        <x:v>Real</x:v>
      </x:c>
      <x:c r="K13" s="2"/>
    </x:row>
    <x:row r="14" ht="23" customHeight="1">
      <x:c r="A14" s="2"/>
      <x:c r="B14" s="2"/>
      <x:c r="C14" s="2" t="str">
        <x:v>Engineering and design</x:v>
      </x:c>
      <x:c r="D14" s="12" t="n">
        <x:v>1</x:v>
      </x:c>
      <x:c r="E14" s="20" t="n">
        <x:v>200000</x:v>
      </x:c>
      <x:c r="F14" s="28" t="n">
        <x:f>D14*E14</x:f>
        <x:v>200000</x:v>
      </x:c>
      <x:c r="G14" s="12" t="n">
        <x:v>1</x:v>
      </x:c>
      <x:c r="H14" s="20" t="n">
        <x:v>75000</x:v>
      </x:c>
      <x:c r="I14" s="28" t="n">
        <x:f>G14*H14</x:f>
        <x:v>75000</x:v>
      </x:c>
      <x:c r="J14" s="2" t="str">
        <x:v>Real</x:v>
      </x:c>
      <x:c r="K14" s="2"/>
    </x:row>
    <x:row r="15" ht="23" customHeight="1">
      <x:c r="A15" s="2"/>
      <x:c r="B15" s="2"/>
      <x:c r="C15" s="2" t="str">
        <x:v>Electrical modifications</x:v>
      </x:c>
      <x:c r="D15" s="12" t="n">
        <x:v>1</x:v>
      </x:c>
      <x:c r="E15" s="20" t="n">
        <x:v>250000</x:v>
      </x:c>
      <x:c r="F15" s="28" t="n">
        <x:f>D15*E15</x:f>
        <x:v>250000</x:v>
      </x:c>
      <x:c r="G15" s="12" t="n">
        <x:v>1</x:v>
      </x:c>
      <x:c r="H15" s="20" t="n">
        <x:v>75000</x:v>
      </x:c>
      <x:c r="I15" s="28" t="n">
        <x:f>G15*H15</x:f>
        <x:v>75000</x:v>
      </x:c>
      <x:c r="J15" s="2" t="str">
        <x:v>Real</x:v>
      </x:c>
      <x:c r="K15" s="2"/>
    </x:row>
    <x:row r="16" ht="23" customHeight="1">
      <x:c r="A16" s="2"/>
      <x:c r="B16" s="2"/>
      <x:c r="C16" s="2" t="str">
        <x:v>Mechanical piping modifications</x:v>
      </x:c>
      <x:c r="D16" s="12" t="n">
        <x:v>1</x:v>
      </x:c>
      <x:c r="E16" s="20" t="n">
        <x:v>200000</x:v>
      </x:c>
      <x:c r="F16" s="28" t="n">
        <x:f>D16*E16</x:f>
        <x:v>200000</x:v>
      </x:c>
      <x:c r="G16" s="12" t="n">
        <x:v>1</x:v>
      </x:c>
      <x:c r="H16" s="20" t="n">
        <x:v>25000</x:v>
      </x:c>
      <x:c r="I16" s="28" t="n">
        <x:f>G16*H16</x:f>
        <x:v>25000</x:v>
      </x:c>
      <x:c r="J16" s="2" t="str">
        <x:v>Real</x:v>
      </x:c>
      <x:c r="K16" s="2"/>
    </x:row>
    <x:row r="17" ht="23" customHeight="1">
      <x:c r="A17" s="2"/>
      <x:c r="B17" s="2"/>
      <x:c r="C17" s="2" t="str">
        <x:v>Permits and commissioning</x:v>
      </x:c>
      <x:c r="D17" s="12" t="n">
        <x:v>1</x:v>
      </x:c>
      <x:c r="E17" s="20" t="n">
        <x:v>150000</x:v>
      </x:c>
      <x:c r="F17" s="28" t="n">
        <x:f>D17*E17</x:f>
        <x:v>150000</x:v>
      </x:c>
      <x:c r="G17" s="12" t="n">
        <x:v>1</x:v>
      </x:c>
      <x:c r="H17" s="20" t="n">
        <x:v>75000</x:v>
      </x:c>
      <x:c r="I17" s="28" t="n">
        <x:f>G17*H17</x:f>
        <x:v>75000</x:v>
      </x:c>
      <x:c r="J17" s="2" t="str">
        <x:v>Real</x:v>
      </x:c>
      <x:c r="K17" s="2"/>
    </x:row>
    <x:row r="18" ht="23" customHeight="1">
      <x:c r="A18" s="2"/>
      <x:c r="B18" s="2"/>
      <x:c r="C18" s="2" t="str">
        <x:v>Operator training</x:v>
      </x:c>
      <x:c r="D18" s="12" t="n">
        <x:v>1</x:v>
      </x:c>
      <x:c r="E18" s="20" t="n">
        <x:v>25000</x:v>
      </x:c>
      <x:c r="F18" s="28" t="n">
        <x:f>D18*E18</x:f>
        <x:v>25000</x:v>
      </x:c>
      <x:c r="G18" s="12" t="n">
        <x:v>1</x:v>
      </x:c>
      <x:c r="H18" s="20" t="n">
        <x:v>15000</x:v>
      </x:c>
      <x:c r="I18" s="28" t="n">
        <x:f>G18*H18</x:f>
        <x:v>15000</x:v>
      </x:c>
      <x:c r="J18" s="2" t="str">
        <x:v>Expense</x:v>
      </x:c>
      <x:c r="K18" s="2"/>
    </x:row>
    <x:row r="19" ht="23" customHeight="1">
      <x:c r="A19" s="2"/>
      <x:c r="B19" s="2"/>
      <x:c r="C19" s="2" t="str">
        <x:v>Equipment removal and disposal</x:v>
      </x:c>
      <x:c r="D19" s="12" t="n">
        <x:v>1</x:v>
      </x:c>
      <x:c r="E19" s="20" t="n">
        <x:v>125000</x:v>
      </x:c>
      <x:c r="F19" s="28" t="n">
        <x:f>D19*E19</x:f>
        <x:v>125000</x:v>
      </x:c>
      <x:c r="G19" s="12" t="n">
        <x:v>1</x:v>
      </x:c>
      <x:c r="H19" s="20" t="n">
        <x:v>25000</x:v>
      </x:c>
      <x:c r="I19" s="28" t="n">
        <x:f>G19*H19</x:f>
        <x:v>25000</x:v>
      </x:c>
      <x:c r="J19" s="2" t="str">
        <x:v>Real</x:v>
      </x:c>
      <x:c r="K19" s="2"/>
    </x:row>
    <x:row r="20" ht="23" customHeight="1">
      <x:c r="A20" s="2"/>
      <x:c r="B20" s="2"/>
      <x:c r="C20" s="2" t="str">
        <x:v>Rigging and temporary cooling</x:v>
      </x:c>
      <x:c r="D20" s="12" t="n">
        <x:v>1</x:v>
      </x:c>
      <x:c r="E20" s="20" t="n">
        <x:v>175000</x:v>
      </x:c>
      <x:c r="F20" s="28" t="n">
        <x:f>D20*E20</x:f>
        <x:v>175000</x:v>
      </x:c>
      <x:c r="G20" s="12" t="n">
        <x:v>1</x:v>
      </x:c>
      <x:c r="H20" s="20" t="n">
        <x:v>50000</x:v>
      </x:c>
      <x:c r="I20" s="28" t="n">
        <x:f>G20*H20</x:f>
        <x:v>50000</x:v>
      </x:c>
      <x:c r="J20" s="2" t="str">
        <x:v>Real</x:v>
      </x:c>
      <x:c r="K20" s="2"/>
    </x:row>
    <x:row r="21" ht="23" customHeight="1">
      <x:c r="A21" s="2"/>
      <x:c r="B21" s="2"/>
      <x:c r="C21" s="2" t="str">
        <x:v>Standalone monitoring workstation</x:v>
      </x:c>
      <x:c r="D21" s="12" t="n">
        <x:v>1</x:v>
      </x:c>
      <x:c r="E21" s="20" t="n">
        <x:v>25000</x:v>
      </x:c>
      <x:c r="F21" s="28" t="n">
        <x:f>D21*E21</x:f>
        <x:v>25000</x:v>
      </x:c>
      <x:c r="G21" s="12" t="n">
        <x:v>1</x:v>
      </x:c>
      <x:c r="H21" s="20" t="n">
        <x:v>15000</x:v>
      </x:c>
      <x:c r="I21" s="28" t="n">
        <x:f>G21*H21</x:f>
        <x:v>15000</x:v>
      </x:c>
      <x:c r="J21" s="2" t="str">
        <x:v>Computer</x:v>
      </x:c>
      <x:c r="K21" s="2"/>
    </x:row>
    <x:row r="22" ht="23" customHeight="1">
      <x:c r="A22" s="2"/>
      <x:c r="B22" s="2"/>
      <x:c r="C22" s="2"/>
      <x:c r="D22" s="2"/>
      <x:c r="E22" s="2"/>
      <x:c r="F22" s="28"/>
      <x:c r="G22" s="2"/>
      <x:c r="H22" s="2"/>
      <x:c r="I22" s="28"/>
      <x:c r="J22" s="2"/>
      <x:c r="K22" s="2"/>
    </x:row>
    <x:row r="23" ht="23" customHeight="1">
      <x:c r="A23" s="2"/>
      <x:c r="B23" s="2"/>
      <x:c r="C23" s="2" t="str">
        <x:v>Direct budget</x:v>
      </x:c>
      <x:c r="D23" s="2"/>
      <x:c r="E23" s="2"/>
      <x:c r="F23" s="28" t="n">
        <x:f>SUM(F8:F21)</x:f>
        <x:v>4550000</x:v>
      </x:c>
      <x:c r="G23" s="2"/>
      <x:c r="H23" s="2"/>
      <x:c r="I23" s="28" t="n">
        <x:f>SUM(I8:I21)</x:f>
        <x:v>1520000</x:v>
      </x:c>
      <x:c r="J23" s="2"/>
      <x:c r="K23" s="2"/>
    </x:row>
    <x:row r="24" ht="23" customHeight="1">
      <x:c r="A24" s="2"/>
      <x:c r="B24" s="2"/>
      <x:c r="C24" s="2" t="str">
        <x:v>Contingency on real property</x:v>
      </x:c>
      <x:c r="D24" s="2"/>
      <x:c r="E24" s="2"/>
      <x:c r="F24" s="29" t="n">
        <x:f>SUMIFS(F8:F21,$J$8:$J$21,"Real")*'Assumptions'!$E$25</x:f>
        <x:v>450000</x:v>
      </x:c>
      <x:c r="G24" s="2"/>
      <x:c r="H24" s="2"/>
      <x:c r="I24" s="29" t="n">
        <x:f>SUMIFS(I8:I21,$J$8:$J$21,"Real")*'Assumptions'!$E$25</x:f>
        <x:v>149000</x:v>
      </x:c>
      <x:c r="J24" s="2"/>
      <x:c r="K24" s="2"/>
    </x:row>
    <x:row r="25" ht="23" customHeight="1">
      <x:c r="A25" s="2"/>
      <x:c r="B25" s="2"/>
      <x:c r="C25" s="18" t="str">
        <x:v>Gross base budget</x:v>
      </x:c>
      <x:c r="D25" s="18"/>
      <x:c r="E25" s="18"/>
      <x:c r="F25" s="32" t="n">
        <x:f>SUM(F23:F24)</x:f>
        <x:v>5000000</x:v>
      </x:c>
      <x:c r="G25" s="18"/>
      <x:c r="H25" s="18"/>
      <x:c r="I25" s="32" t="n">
        <x:f>SUM(I23:I24)</x:f>
        <x:v>1669000</x:v>
      </x:c>
      <x:c r="J25" s="18"/>
      <x:c r="K25" s="2"/>
    </x:row>
    <x:row r="26" ht="23" customHeight="1">
      <x:c r="A26" s="2"/>
      <x:c r="B26" s="2"/>
      <x:c r="C26" s="2"/>
      <x:c r="D26" s="2"/>
      <x:c r="E26" s="2"/>
      <x:c r="F26" s="28"/>
      <x:c r="G26" s="2"/>
      <x:c r="H26" s="2"/>
      <x:c r="I26" s="28"/>
      <x:c r="J26" s="2"/>
      <x:c r="K26" s="2"/>
    </x:row>
    <x:row r="27" ht="23" customHeight="1">
      <x:c r="A27" s="2"/>
      <x:c r="B27" s="2"/>
      <x:c r="C27" s="2" t="str">
        <x:v>Active capital cost multiplier</x:v>
      </x:c>
      <x:c r="D27" s="2"/>
      <x:c r="E27" s="2"/>
      <x:c r="F27" s="30" t="n">
        <x:f>'Assumptions'!E70</x:f>
        <x:v>1</x:v>
      </x:c>
      <x:c r="G27" s="2"/>
      <x:c r="H27" s="2"/>
      <x:c r="I27" s="30" t="n">
        <x:f>'Assumptions'!E70</x:f>
        <x:v>1</x:v>
      </x:c>
      <x:c r="J27" s="2"/>
      <x:c r="K27" s="2"/>
    </x:row>
    <x:row r="28" ht="23" customHeight="1">
      <x:c r="A28" s="2"/>
      <x:c r="B28" s="2"/>
      <x:c r="C28" s="18" t="str">
        <x:v>Active initial funding</x:v>
      </x:c>
      <x:c r="D28" s="18"/>
      <x:c r="E28" s="18"/>
      <x:c r="F28" s="32" t="n">
        <x:f>F25*F27</x:f>
        <x:v>5000000</x:v>
      </x:c>
      <x:c r="G28" s="18"/>
      <x:c r="H28" s="18"/>
      <x:c r="I28" s="32" t="n">
        <x:f>I25*I27</x:f>
        <x:v>1669000</x:v>
      </x:c>
      <x:c r="J28" s="18"/>
      <x:c r="K28" s="2"/>
    </x:row>
    <x:row r="29" ht="23" customHeight="1">
      <x:c r="A29" s="2"/>
      <x:c r="B29" s="2"/>
      <x:c r="C29" s="2"/>
      <x:c r="D29" s="2"/>
      <x:c r="E29" s="2"/>
      <x:c r="F29" s="28"/>
      <x:c r="G29" s="2"/>
      <x:c r="H29" s="2"/>
      <x:c r="I29" s="28"/>
      <x:c r="J29" s="2"/>
      <x:c r="K29" s="2"/>
    </x:row>
    <x:row r="30" ht="23" customHeight="1">
      <x:c r="A30" s="2"/>
      <x:c r="B30" s="2"/>
      <x:c r="C30" s="2" t="str">
        <x:v>Real-property tax basis</x:v>
      </x:c>
      <x:c r="D30" s="2"/>
      <x:c r="E30" s="2"/>
      <x:c r="F30" s="28" t="n">
        <x:f>(SUMIFS(F8:F21,$J$8:$J$21,"Real")+F24)*F27</x:f>
        <x:v>4950000</x:v>
      </x:c>
      <x:c r="G30" s="2"/>
      <x:c r="H30" s="2"/>
      <x:c r="I30" s="28" t="n">
        <x:f>(SUMIFS(I8:I21,$J$8:$J$21,"Real")+I24)*I27</x:f>
        <x:v>1639000</x:v>
      </x:c>
      <x:c r="J30" s="2"/>
      <x:c r="K30" s="2"/>
    </x:row>
    <x:row r="31" ht="23" customHeight="1">
      <x:c r="A31" s="2"/>
      <x:c r="B31" s="2"/>
      <x:c r="C31" s="2" t="str">
        <x:v>Computer tax basis</x:v>
      </x:c>
      <x:c r="D31" s="2"/>
      <x:c r="E31" s="2"/>
      <x:c r="F31" s="28" t="n">
        <x:f>SUMIFS(F8:F21,$J$8:$J$21,"Computer")*F27</x:f>
        <x:v>25000</x:v>
      </x:c>
      <x:c r="G31" s="2"/>
      <x:c r="H31" s="2"/>
      <x:c r="I31" s="28" t="n">
        <x:f>SUMIFS(I8:I21,$J$8:$J$21,"Computer")*I27</x:f>
        <x:v>15000</x:v>
      </x:c>
      <x:c r="J31" s="2"/>
      <x:c r="K31" s="2"/>
    </x:row>
    <x:row r="32" ht="23" customHeight="1">
      <x:c r="A32" s="2"/>
      <x:c r="B32" s="2"/>
      <x:c r="C32" s="2" t="str">
        <x:v>Training expense</x:v>
      </x:c>
      <x:c r="D32" s="2"/>
      <x:c r="E32" s="2"/>
      <x:c r="F32" s="28" t="n">
        <x:f>SUMIFS(F8:F21,$J$8:$J$21,"Expense")*F27</x:f>
        <x:v>25000</x:v>
      </x:c>
      <x:c r="G32" s="2"/>
      <x:c r="H32" s="2"/>
      <x:c r="I32" s="28" t="n">
        <x:f>SUMIFS(I8:I21,$J$8:$J$21,"Expense")*I27</x:f>
        <x:v>15000</x:v>
      </x:c>
      <x:c r="J32" s="2"/>
      <x:c r="K32" s="2"/>
    </x:row>
    <x:row r="33" ht="23" customHeight="1">
      <x:c r="A33" s="2"/>
      <x:c r="B33" s="2"/>
      <x:c r="C33" s="2"/>
      <x:c r="D33" s="2"/>
      <x:c r="E33" s="2"/>
      <x:c r="F33" s="2"/>
      <x:c r="G33" s="2"/>
      <x:c r="H33" s="2"/>
      <x:c r="I33" s="2"/>
      <x:c r="J33" s="2"/>
      <x:c r="K33" s="2"/>
    </x:row>
    <x:row r="34" ht="23" customHeight="1">
      <x:c r="A34" s="2"/>
      <x:c r="B34" s="2"/>
      <x:c r="C34" s="2"/>
      <x:c r="D34" s="2"/>
      <x:c r="E34" s="2"/>
      <x:c r="F34" s="2"/>
      <x:c r="G34" s="2"/>
      <x:c r="H34" s="2"/>
      <x:c r="I34" s="2"/>
      <x:c r="J34" s="2"/>
      <x:c r="K34" s="2"/>
    </x:row>
    <x:row r="35" ht="23" customHeight="1">
      <x:c r="A35" s="2"/>
      <x:c r="B35" s="2"/>
      <x:c r="C35" s="5" t="str">
        <x:v>Contingency is fully spent on real-property items. Training and computer costs are excluded.</x:v>
      </x:c>
      <x:c r="D35" s="2"/>
      <x:c r="E35" s="2"/>
      <x:c r="F35" s="2"/>
      <x:c r="G35" s="2"/>
      <x:c r="H35" s="2"/>
      <x:c r="I35" s="2"/>
      <x:c r="J35" s="2"/>
      <x:c r="K35" s="2"/>
    </x:row>
    <x:row r="36" ht="23" customHeight="1">
      <x:c r="A36" s="2"/>
      <x:c r="B36" s="2"/>
      <x:c r="C36" s="5" t="str">
        <x:v>Training is funded in year 0 and deducted in year 1, matching the source model.</x:v>
      </x:c>
      <x:c r="D36" s="2"/>
      <x:c r="E36" s="2"/>
      <x:c r="F36" s="2"/>
      <x:c r="G36" s="2"/>
      <x:c r="H36" s="2"/>
      <x:c r="I36" s="2"/>
      <x:c r="J36" s="2"/>
      <x:c r="K36" s="2"/>
    </x:row>
    <x:row r="37" ht="23" customHeight="1">
      <x:c r="A37" s="2"/>
      <x:c r="B37" s="2"/>
      <x:c r="C37" s="5" t="str">
        <x:v>Sales/use tax and contractor overhead are assumed included in allowances.</x:v>
      </x:c>
      <x:c r="D37" s="2"/>
      <x:c r="E37" s="2"/>
      <x:c r="F37" s="2"/>
      <x:c r="G37" s="2"/>
      <x:c r="H37" s="2"/>
      <x:c r="I37" s="2"/>
      <x:c r="J37" s="2"/>
      <x:c r="K37" s="2"/>
    </x:row>
    <x:row r="38" ht="23" customHeight="1">
      <x:c r="A38" s="2"/>
      <x:c r="B38" s="2"/>
      <x:c r="C38" s="5" t="str">
        <x:v>Real-property classification is an assumption. No Section 179 or bonus deduction is modeled.</x:v>
      </x:c>
      <x:c r="D38" s="2"/>
      <x:c r="E38" s="2"/>
      <x:c r="F38" s="2"/>
      <x:c r="G38" s="2"/>
      <x:c r="H38" s="2"/>
      <x:c r="I38" s="2"/>
      <x:c r="J38" s="2"/>
      <x:c r="K38" s="2"/>
    </x:row>
    <x:row r="39" ht="23" customHeight="1">
      <x:c r="A39" s="2"/>
      <x:c r="B39" s="2"/>
      <x:c r="C39" s="5" t="str">
        <x:v>A Existing has no initial project outlay; its future capital work is included in Tax.</x:v>
      </x:c>
      <x:c r="D39" s="2"/>
      <x:c r="E39" s="2"/>
      <x:c r="F39" s="2"/>
      <x:c r="G39" s="2"/>
      <x:c r="H39" s="2"/>
      <x:c r="I39" s="2"/>
      <x:c r="J39" s="2"/>
      <x:c r="K39" s="2"/>
    </x:row>
    <x:row r="40" ht="23" customHeight="1">
      <x:c r="A40" s="2"/>
      <x:c r="B40" s="2"/>
      <x:c r="C40" s="2"/>
      <x:c r="D40" s="2"/>
      <x:c r="E40" s="2"/>
      <x:c r="F40" s="2"/>
      <x:c r="G40" s="2"/>
      <x:c r="H40" s="2"/>
      <x:c r="I40" s="2"/>
      <x:c r="J40" s="2"/>
      <x:c r="K40" s="2"/>
    </x:row>
    <x:row r="41" ht="23" customHeight="1">
      <x:c r="A41" s="2"/>
      <x:c r="B41" s="2"/>
      <x:c r="C41" s="2"/>
      <x:c r="D41" s="2"/>
      <x:c r="E41" s="2"/>
      <x:c r="F41" s="2"/>
      <x:c r="G41" s="2"/>
      <x:c r="H41" s="2"/>
      <x:c r="I41" s="2"/>
      <x:c r="J41" s="2"/>
      <x:c r="K41" s="2"/>
    </x:row>
  </x:sheetData>
  <x:printOptions horizontalCentered="1" headings="0" gridLines="0"/>
  <x:pageMargins left="0.3" right="0.3" top="0.35" bottom="0.35" header="0.15" footer="0.15"/>
  <x:pageSetup paperSize="3" orientation="landscape" fitToWidth="1" fitToHeight="0"/>
  <x:headerFooter>
    <x:oddFooter>&amp;L&amp;"Times New Roman,Regular"&amp;9CapEx&amp;RPage &amp;P of &amp;N</x:oddFooter>
  </x:headerFooter>
</x:worksheet>
</file>

<file path=xl/worksheets/sheet4.xml><?xml version="1.0" encoding="utf-8"?>
<x:worksheet xmlns:x="http://schemas.openxmlformats.org/spreadsheetml/2006/main">
  <x:sheetPr>
    <x:pageSetUpPr fitToPage="1"/>
  </x:sheetPr>
  <x:sheetViews>
    <x:sheetView showGridLines="0" workbookViewId="0">
      <x:pane xSplit="3" ySplit="7" topLeftCell="D8" activePane="bottomRight" state="frozen"/>
    </x:sheetView>
  </x:sheetViews>
  <x:sheetFormatPr defaultRowHeight="15"/>
  <x:cols>
    <x:col min="1" max="1" width="3" hidden="0" customWidth="1"/>
    <x:col min="2" max="2" width="3" hidden="0" customWidth="1"/>
    <x:col min="3" max="3" width="43" hidden="0" customWidth="1"/>
    <x:col min="4" max="4" width="16" hidden="0" customWidth="1"/>
    <x:col min="5" max="5" width="16" hidden="0" customWidth="1"/>
    <x:col min="6" max="6" width="16" hidden="0" customWidth="1"/>
    <x:col min="7" max="7" width="16" hidden="0" customWidth="1"/>
    <x:col min="8" max="8" width="16" hidden="0" customWidth="1"/>
    <x:col min="9" max="9" width="16" hidden="0" customWidth="1"/>
    <x:col min="10" max="10" width="16" hidden="0" customWidth="1"/>
    <x:col min="11" max="11" width="16" hidden="0" customWidth="1"/>
    <x:col min="12" max="12" width="16" hidden="0" customWidth="1"/>
    <x:col min="13" max="13" width="16" hidden="0" customWidth="1"/>
    <x:col min="14" max="14" width="16" hidden="0" customWidth="1"/>
  </x:cols>
  <x:sheetData>
    <x:row r="1" ht="23" customHeight="1">
      <x:c r="A1" s="2"/>
      <x:c r="B1" s="2"/>
      <x:c r="C1" s="2"/>
      <x:c r="D1" s="2"/>
      <x:c r="E1" s="2"/>
      <x:c r="F1" s="2"/>
      <x:c r="G1" s="2"/>
      <x:c r="H1" s="2"/>
      <x:c r="I1" s="2"/>
      <x:c r="J1" s="2"/>
      <x:c r="K1" s="2"/>
      <x:c r="L1" s="2"/>
      <x:c r="M1" s="2"/>
      <x:c r="N1" s="2"/>
    </x:row>
    <x:row r="2" ht="23" customHeight="1">
      <x:c r="A2" s="2"/>
      <x:c r="B2" s="2"/>
      <x:c r="C2" s="3" t="str">
        <x:v>Energy use and operating costs</x:v>
      </x:c>
      <x:c r="D2" s="2"/>
      <x:c r="E2" s="2"/>
      <x:c r="F2" s="2"/>
      <x:c r="G2" s="2"/>
      <x:c r="H2" s="2"/>
      <x:c r="I2" s="2"/>
      <x:c r="J2" s="2"/>
      <x:c r="K2" s="2"/>
      <x:c r="L2" s="2"/>
      <x:c r="M2" s="2"/>
      <x:c r="N2" s="2"/>
    </x:row>
    <x:row r="3" ht="23" customHeight="1">
      <x:c r="A3" s="2"/>
      <x:c r="B3" s="2"/>
      <x:c r="C3" s="5" t="str">
        <x:v>Equal cooling service in all options. Load-bin energy plus separate auxiliaries.</x:v>
      </x:c>
      <x:c r="D3" s="2"/>
      <x:c r="E3" s="2"/>
      <x:c r="F3" s="2"/>
      <x:c r="G3" s="2"/>
      <x:c r="H3" s="2"/>
      <x:c r="I3" s="2"/>
      <x:c r="J3" s="2"/>
      <x:c r="K3" s="2"/>
      <x:c r="L3" s="2"/>
      <x:c r="M3" s="2"/>
      <x:c r="N3" s="2"/>
    </x:row>
    <x:row r="4" ht="23" customHeight="1">
      <x:c r="A4" s="2"/>
      <x:c r="B4" s="2"/>
      <x:c r="C4" s="2"/>
      <x:c r="D4" s="2"/>
      <x:c r="E4" s="2"/>
      <x:c r="F4" s="2"/>
      <x:c r="G4" s="2"/>
      <x:c r="H4" s="2"/>
      <x:c r="I4" s="2"/>
      <x:c r="J4" s="2"/>
      <x:c r="K4" s="2"/>
      <x:c r="L4" s="2"/>
      <x:c r="M4" s="2"/>
      <x:c r="N4" s="2"/>
    </x:row>
    <x:row r="5" ht="23" customHeight="1">
      <x:c r="A5" s="2"/>
      <x:c r="B5" s="2"/>
      <x:c r="C5" s="2" t="str">
        <x:v>Selected scenario</x:v>
      </x:c>
      <x:c r="D5" s="56" t="str">
        <x:f>'Assumptions'!E6</x:f>
        <x:v>Base</x:v>
      </x:c>
      <x:c r="E5" s="2"/>
      <x:c r="F5" s="2"/>
      <x:c r="G5" s="2"/>
      <x:c r="H5" s="2"/>
      <x:c r="I5" s="2"/>
      <x:c r="J5" s="2"/>
      <x:c r="K5" s="2"/>
      <x:c r="L5" s="2"/>
      <x:c r="M5" s="2"/>
      <x:c r="N5" s="2"/>
    </x:row>
    <x:row r="6" ht="23" customHeight="1">
      <x:c r="A6" s="2"/>
      <x:c r="B6" s="2"/>
      <x:c r="C6" s="2"/>
      <x:c r="D6" s="2"/>
      <x:c r="E6" s="2"/>
      <x:c r="F6" s="2"/>
      <x:c r="G6" s="2"/>
      <x:c r="H6" s="2"/>
      <x:c r="I6" s="2"/>
      <x:c r="J6" s="2"/>
      <x:c r="K6" s="2"/>
      <x:c r="L6" s="2"/>
      <x:c r="M6" s="2"/>
      <x:c r="N6" s="2"/>
    </x:row>
    <x:row r="7" ht="28" customHeight="1">
      <x:c r="A7" s="2"/>
      <x:c r="B7" s="2"/>
      <x:c r="C7" s="11" t="str">
        <x:v>Cooling load</x:v>
      </x:c>
      <x:c r="D7" s="11" t="str">
        <x:v>Hours</x:v>
      </x:c>
      <x:c r="E7" s="11" t="str">
        <x:v>Ton-hours</x:v>
      </x:c>
      <x:c r="F7" s="11" t="str">
        <x:v>A kWh</x:v>
      </x:c>
      <x:c r="G7" s="11" t="str">
        <x:v>B kWh</x:v>
      </x:c>
      <x:c r="H7" s="11" t="str">
        <x:v>C kWh</x:v>
      </x:c>
      <x:c r="I7" s="2"/>
      <x:c r="J7" s="2"/>
      <x:c r="K7" s="2"/>
      <x:c r="L7" s="2"/>
      <x:c r="M7" s="2"/>
      <x:c r="N7" s="2"/>
    </x:row>
    <x:row r="8" ht="23" customHeight="1">
      <x:c r="A8" s="2"/>
      <x:c r="B8" s="2"/>
      <x:c r="C8" s="33" t="n">
        <x:f>'Assumptions'!C33</x:f>
        <x:v>0.25</x:v>
      </x:c>
      <x:c r="D8" s="34" t="n">
        <x:f>'Assumptions'!D33</x:f>
        <x:v>750</x:v>
      </x:c>
      <x:c r="E8" s="34" t="n">
        <x:f>C8*D8*'Assumptions'!$E$10</x:f>
        <x:v>225000</x:v>
      </x:c>
      <x:c r="F8" s="34" t="n">
        <x:f>$E8*'Assumptions'!E33</x:f>
        <x:v>213750</x:v>
      </x:c>
      <x:c r="G8" s="34" t="n">
        <x:f>$E8*'Assumptions'!F33</x:f>
        <x:v>112500</x:v>
      </x:c>
      <x:c r="H8" s="34" t="n">
        <x:f>$E8*'Assumptions'!G33</x:f>
        <x:v>189000</x:v>
      </x:c>
      <x:c r="I8" s="2"/>
      <x:c r="J8" s="2"/>
      <x:c r="K8" s="2"/>
      <x:c r="L8" s="2"/>
      <x:c r="M8" s="2"/>
      <x:c r="N8" s="2"/>
    </x:row>
    <x:row r="9" ht="23" customHeight="1">
      <x:c r="A9" s="2"/>
      <x:c r="B9" s="2"/>
      <x:c r="C9" s="33" t="n">
        <x:f>'Assumptions'!C34</x:f>
        <x:v>0.5</x:v>
      </x:c>
      <x:c r="D9" s="34" t="n">
        <x:f>'Assumptions'!D34</x:f>
        <x:v>1250</x:v>
      </x:c>
      <x:c r="E9" s="34" t="n">
        <x:f>C9*D9*'Assumptions'!$E$10</x:f>
        <x:v>750000</x:v>
      </x:c>
      <x:c r="F9" s="34" t="n">
        <x:f>$E9*'Assumptions'!E34</x:f>
        <x:v>600000</x:v>
      </x:c>
      <x:c r="G9" s="34" t="n">
        <x:f>$E9*'Assumptions'!F34</x:f>
        <x:v>360000</x:v>
      </x:c>
      <x:c r="H9" s="34" t="n">
        <x:f>$E9*'Assumptions'!G34</x:f>
        <x:v>547500</x:v>
      </x:c>
      <x:c r="I9" s="2"/>
      <x:c r="J9" s="2"/>
      <x:c r="K9" s="2"/>
      <x:c r="L9" s="2"/>
      <x:c r="M9" s="2"/>
      <x:c r="N9" s="2"/>
    </x:row>
    <x:row r="10" ht="23" customHeight="1">
      <x:c r="A10" s="2"/>
      <x:c r="B10" s="2"/>
      <x:c r="C10" s="33" t="n">
        <x:f>'Assumptions'!C35</x:f>
        <x:v>0.75</x:v>
      </x:c>
      <x:c r="D10" s="34" t="n">
        <x:f>'Assumptions'!D35</x:f>
        <x:v>750</x:v>
      </x:c>
      <x:c r="E10" s="34" t="n">
        <x:f>C10*D10*'Assumptions'!$E$10</x:f>
        <x:v>675000</x:v>
      </x:c>
      <x:c r="F10" s="34" t="n">
        <x:f>$E10*'Assumptions'!E35</x:f>
        <x:v>506250</x:v>
      </x:c>
      <x:c r="G10" s="34" t="n">
        <x:f>$E10*'Assumptions'!F35</x:f>
        <x:v>351000</x:v>
      </x:c>
      <x:c r="H10" s="34" t="n">
        <x:f>$E10*'Assumptions'!G35</x:f>
        <x:v>472499.99999999994</x:v>
      </x:c>
      <x:c r="I10" s="2"/>
      <x:c r="J10" s="2"/>
      <x:c r="K10" s="2"/>
      <x:c r="L10" s="2"/>
      <x:c r="M10" s="2"/>
      <x:c r="N10" s="2"/>
    </x:row>
    <x:row r="11" ht="23" customHeight="1">
      <x:c r="A11" s="2"/>
      <x:c r="B11" s="2"/>
      <x:c r="C11" s="33" t="n">
        <x:f>'Assumptions'!C36</x:f>
        <x:v>1</x:v>
      </x:c>
      <x:c r="D11" s="34" t="n">
        <x:f>'Assumptions'!D36</x:f>
        <x:v>250</x:v>
      </x:c>
      <x:c r="E11" s="34" t="n">
        <x:f>C11*D11*'Assumptions'!$E$10</x:f>
        <x:v>300000</x:v>
      </x:c>
      <x:c r="F11" s="34" t="n">
        <x:f>$E11*'Assumptions'!E36</x:f>
        <x:v>216000</x:v>
      </x:c>
      <x:c r="G11" s="34" t="n">
        <x:f>$E11*'Assumptions'!F36</x:f>
        <x:v>175500</x:v>
      </x:c>
      <x:c r="H11" s="34" t="n">
        <x:f>$E11*'Assumptions'!G36</x:f>
        <x:v>210000</x:v>
      </x:c>
      <x:c r="I11" s="2"/>
      <x:c r="J11" s="2"/>
      <x:c r="K11" s="2"/>
      <x:c r="L11" s="2"/>
      <x:c r="M11" s="2"/>
      <x:c r="N11" s="2"/>
    </x:row>
    <x:row r="12" ht="23" customHeight="1">
      <x:c r="A12" s="2"/>
      <x:c r="B12" s="2"/>
      <x:c r="C12" s="2"/>
      <x:c r="D12" s="35"/>
      <x:c r="E12" s="35"/>
      <x:c r="F12" s="35"/>
      <x:c r="G12" s="35"/>
      <x:c r="H12" s="35"/>
      <x:c r="I12" s="2"/>
      <x:c r="J12" s="2"/>
      <x:c r="K12" s="2"/>
      <x:c r="L12" s="2"/>
      <x:c r="M12" s="2"/>
      <x:c r="N12" s="2"/>
    </x:row>
    <x:row r="13" ht="23" customHeight="1">
      <x:c r="A13" s="2"/>
      <x:c r="B13" s="2"/>
      <x:c r="C13" s="2" t="str">
        <x:v>Chiller electricity</x:v>
      </x:c>
      <x:c r="D13" s="35"/>
      <x:c r="E13" s="35"/>
      <x:c r="F13" s="35" t="n">
        <x:f>SUM(F8:F11)</x:f>
        <x:v>1536000</x:v>
      </x:c>
      <x:c r="G13" s="35" t="n">
        <x:f>SUM(G8:G11)</x:f>
        <x:v>999000</x:v>
      </x:c>
      <x:c r="H13" s="35" t="n">
        <x:f>SUM(H8:H11)</x:f>
        <x:v>1419000</x:v>
      </x:c>
      <x:c r="I13" s="2"/>
      <x:c r="J13" s="2"/>
      <x:c r="K13" s="2"/>
      <x:c r="L13" s="2"/>
      <x:c r="M13" s="2"/>
      <x:c r="N13" s="2"/>
    </x:row>
    <x:row r="14" ht="23" customHeight="1">
      <x:c r="A14" s="2"/>
      <x:c r="B14" s="2"/>
      <x:c r="C14" s="2" t="str">
        <x:v>Supply / return fans</x:v>
      </x:c>
      <x:c r="D14" s="35"/>
      <x:c r="E14" s="35"/>
      <x:c r="F14" s="34" t="n">
        <x:f>'Assumptions'!D41*'Assumptions'!E41*'Assumptions'!J41</x:f>
        <x:v>1008000</x:v>
      </x:c>
      <x:c r="G14" s="34" t="n">
        <x:f>'Assumptions'!F41*'Assumptions'!G41*'Assumptions'!J41</x:f>
        <x:v>604800</x:v>
      </x:c>
      <x:c r="H14" s="34" t="n">
        <x:f>'Assumptions'!H41*'Assumptions'!I41*'Assumptions'!J41</x:f>
        <x:v>756000</x:v>
      </x:c>
      <x:c r="I14" s="2"/>
      <x:c r="J14" s="2"/>
      <x:c r="K14" s="2"/>
      <x:c r="L14" s="2"/>
      <x:c r="M14" s="2"/>
      <x:c r="N14" s="2"/>
    </x:row>
    <x:row r="15" ht="23" customHeight="1">
      <x:c r="A15" s="2"/>
      <x:c r="B15" s="2"/>
      <x:c r="C15" s="2" t="str">
        <x:v>Water pumps</x:v>
      </x:c>
      <x:c r="D15" s="35"/>
      <x:c r="E15" s="35"/>
      <x:c r="F15" s="34" t="n">
        <x:f>'Assumptions'!D42*'Assumptions'!E42*'Assumptions'!J42</x:f>
        <x:v>382500</x:v>
      </x:c>
      <x:c r="G15" s="34" t="n">
        <x:f>'Assumptions'!F42*'Assumptions'!G42*'Assumptions'!J42</x:f>
        <x:v>202500</x:v>
      </x:c>
      <x:c r="H15" s="34" t="n">
        <x:f>'Assumptions'!H42*'Assumptions'!I42*'Assumptions'!J42</x:f>
        <x:v>292500</x:v>
      </x:c>
      <x:c r="I15" s="2"/>
      <x:c r="J15" s="2"/>
      <x:c r="K15" s="2"/>
      <x:c r="L15" s="2"/>
      <x:c r="M15" s="2"/>
      <x:c r="N15" s="2"/>
    </x:row>
    <x:row r="16" ht="23" customHeight="1">
      <x:c r="A16" s="2"/>
      <x:c r="B16" s="2"/>
      <x:c r="C16" s="2" t="str">
        <x:v>Cooling tower fans</x:v>
      </x:c>
      <x:c r="D16" s="35"/>
      <x:c r="E16" s="35"/>
      <x:c r="F16" s="34" t="n">
        <x:f>'Assumptions'!D43*'Assumptions'!E43*'Assumptions'!J43</x:f>
        <x:v>117000</x:v>
      </x:c>
      <x:c r="G16" s="34" t="n">
        <x:f>'Assumptions'!F43*'Assumptions'!G43*'Assumptions'!J43</x:f>
        <x:v>90000</x:v>
      </x:c>
      <x:c r="H16" s="34" t="n">
        <x:f>'Assumptions'!H43*'Assumptions'!I43*'Assumptions'!J43</x:f>
        <x:v>99000</x:v>
      </x:c>
      <x:c r="I16" s="2"/>
      <x:c r="J16" s="2"/>
      <x:c r="K16" s="2"/>
      <x:c r="L16" s="2"/>
      <x:c r="M16" s="2"/>
      <x:c r="N16" s="2"/>
    </x:row>
    <x:row r="17" ht="23" customHeight="1">
      <x:c r="A17" s="2"/>
      <x:c r="B17" s="2"/>
      <x:c r="C17" s="2"/>
      <x:c r="D17" s="35"/>
      <x:c r="E17" s="35"/>
      <x:c r="F17" s="35"/>
      <x:c r="G17" s="35"/>
      <x:c r="H17" s="35"/>
      <x:c r="I17" s="2"/>
      <x:c r="J17" s="2"/>
      <x:c r="K17" s="2"/>
      <x:c r="L17" s="2"/>
      <x:c r="M17" s="2"/>
      <x:c r="N17" s="2"/>
    </x:row>
    <x:row r="18" ht="23" customHeight="1">
      <x:c r="A18" s="2"/>
      <x:c r="B18" s="2"/>
      <x:c r="C18" s="18" t="str">
        <x:v>Raw HVAC electricity (kWh/year)</x:v>
      </x:c>
      <x:c r="D18" s="38"/>
      <x:c r="E18" s="38"/>
      <x:c r="F18" s="38" t="n">
        <x:f>SUM(F13:F16)</x:f>
        <x:v>3043500</x:v>
      </x:c>
      <x:c r="G18" s="38" t="n">
        <x:f>SUM(G13:G16)</x:f>
        <x:v>1896300</x:v>
      </x:c>
      <x:c r="H18" s="38" t="n">
        <x:f>SUM(H13:H16)</x:f>
        <x:v>2566500</x:v>
      </x:c>
      <x:c r="I18" s="2"/>
      <x:c r="J18" s="2"/>
      <x:c r="K18" s="2"/>
      <x:c r="L18" s="2"/>
      <x:c r="M18" s="2"/>
      <x:c r="N18" s="2"/>
    </x:row>
    <x:row r="19" ht="23" customHeight="1">
      <x:c r="A19" s="2"/>
      <x:c r="B19" s="2"/>
      <x:c r="C19" s="2" t="str">
        <x:v>Raw savings versus A (kWh/year)</x:v>
      </x:c>
      <x:c r="D19" s="35"/>
      <x:c r="E19" s="35"/>
      <x:c r="F19" s="35" t="n">
        <x:f>$F$18-F18</x:f>
        <x:v>0</x:v>
      </x:c>
      <x:c r="G19" s="35" t="n">
        <x:f>$F$18-G18</x:f>
        <x:v>1147200</x:v>
      </x:c>
      <x:c r="H19" s="35" t="n">
        <x:f>$F$18-H18</x:f>
        <x:v>477000</x:v>
      </x:c>
      <x:c r="I19" s="2"/>
      <x:c r="J19" s="2"/>
      <x:c r="K19" s="2"/>
      <x:c r="L19" s="2"/>
      <x:c r="M19" s="2"/>
      <x:c r="N19" s="2"/>
    </x:row>
    <x:row r="20" ht="23" customHeight="1">
      <x:c r="A20" s="2"/>
      <x:c r="B20" s="2"/>
      <x:c r="C20" s="2" t="str">
        <x:v>Realized savings (kWh/year)</x:v>
      </x:c>
      <x:c r="D20" s="35"/>
      <x:c r="E20" s="35"/>
      <x:c r="F20" s="34" t="n">
        <x:f>F19*'Assumptions'!$E$65</x:f>
        <x:v>0</x:v>
      </x:c>
      <x:c r="G20" s="34" t="n">
        <x:f>G19*'Assumptions'!$E$65</x:f>
        <x:v>1147200</x:v>
      </x:c>
      <x:c r="H20" s="34" t="n">
        <x:f>H19*'Assumptions'!$E$65</x:f>
        <x:v>477000</x:v>
      </x:c>
      <x:c r="I20" s="2"/>
      <x:c r="J20" s="2"/>
      <x:c r="K20" s="2"/>
      <x:c r="L20" s="2"/>
      <x:c r="M20" s="2"/>
      <x:c r="N20" s="2"/>
    </x:row>
    <x:row r="21" ht="23" customHeight="1">
      <x:c r="A21" s="2"/>
      <x:c r="B21" s="2"/>
      <x:c r="C21" s="18" t="str">
        <x:v>Modeled HVAC use (kWh/year)</x:v>
      </x:c>
      <x:c r="D21" s="38"/>
      <x:c r="E21" s="38"/>
      <x:c r="F21" s="38" t="n">
        <x:f>$F$18-F20</x:f>
        <x:v>3043500</x:v>
      </x:c>
      <x:c r="G21" s="38" t="n">
        <x:f>$F$18-G20</x:f>
        <x:v>1896300</x:v>
      </x:c>
      <x:c r="H21" s="38" t="n">
        <x:f>$F$18-H20</x:f>
        <x:v>2566500</x:v>
      </x:c>
      <x:c r="I21" s="2"/>
      <x:c r="J21" s="2"/>
      <x:c r="K21" s="2"/>
      <x:c r="L21" s="2"/>
      <x:c r="M21" s="2"/>
      <x:c r="N21" s="2"/>
    </x:row>
    <x:row r="22" ht="23" customHeight="1">
      <x:c r="A22" s="2"/>
      <x:c r="B22" s="2"/>
      <x:c r="C22" s="2" t="str">
        <x:v>HVAC electricity reduction</x:v>
      </x:c>
      <x:c r="D22" s="35"/>
      <x:c r="E22" s="35"/>
      <x:c r="F22" s="36" t="n">
        <x:f>F20/$F$18</x:f>
        <x:v>0</x:v>
      </x:c>
      <x:c r="G22" s="36" t="n">
        <x:f>G20/$F$18</x:f>
        <x:v>0.37693445046821095</x:v>
      </x:c>
      <x:c r="H22" s="36" t="n">
        <x:f>H20/$F$18</x:f>
        <x:v>0.15672745194677182</x:v>
      </x:c>
      <x:c r="I22" s="2"/>
      <x:c r="J22" s="2"/>
      <x:c r="K22" s="2"/>
      <x:c r="L22" s="2"/>
      <x:c r="M22" s="2"/>
      <x:c r="N22" s="2"/>
    </x:row>
    <x:row r="23" ht="23" customHeight="1">
      <x:c r="A23" s="2"/>
      <x:c r="B23" s="2"/>
      <x:c r="C23" s="2"/>
      <x:c r="D23" s="35"/>
      <x:c r="E23" s="35"/>
      <x:c r="F23" s="35"/>
      <x:c r="G23" s="35"/>
      <x:c r="H23" s="35"/>
      <x:c r="I23" s="2"/>
      <x:c r="J23" s="2"/>
      <x:c r="K23" s="2"/>
      <x:c r="L23" s="2"/>
      <x:c r="M23" s="2"/>
      <x:c r="N23" s="2"/>
    </x:row>
    <x:row r="24" ht="23" customHeight="1">
      <x:c r="A24" s="2"/>
      <x:c r="B24" s="2"/>
      <x:c r="C24" s="2" t="str">
        <x:v>Year 1 electricity cost</x:v>
      </x:c>
      <x:c r="D24" s="35"/>
      <x:c r="E24" s="35"/>
      <x:c r="F24" s="29" t="n">
        <x:f>F21*'Assumptions'!$E$60</x:f>
        <x:v>608700</x:v>
      </x:c>
      <x:c r="G24" s="29" t="n">
        <x:f>G21*'Assumptions'!$E$60</x:f>
        <x:v>379260</x:v>
      </x:c>
      <x:c r="H24" s="29" t="n">
        <x:f>H21*'Assumptions'!$E$60</x:f>
        <x:v>513300</x:v>
      </x:c>
      <x:c r="I24" s="2"/>
      <x:c r="J24" s="2"/>
      <x:c r="K24" s="2"/>
      <x:c r="L24" s="2"/>
      <x:c r="M24" s="2"/>
      <x:c r="N24" s="2"/>
    </x:row>
    <x:row r="25" ht="23" customHeight="1">
      <x:c r="A25" s="2"/>
      <x:c r="B25" s="2"/>
      <x:c r="C25" s="2" t="str">
        <x:v>Maintenance and repairs</x:v>
      </x:c>
      <x:c r="D25" s="35"/>
      <x:c r="E25" s="35"/>
      <x:c r="F25" s="29" t="n">
        <x:f>SUM('Assumptions'!E47:E48)</x:f>
        <x:v>360000</x:v>
      </x:c>
      <x:c r="G25" s="29" t="n">
        <x:f>$F$25-($F$25-SUM('Assumptions'!F47:F48))*'Assumptions'!$E$75</x:f>
        <x:v>165000</x:v>
      </x:c>
      <x:c r="H25" s="29" t="n">
        <x:f>$F$25-($F$25-SUM('Assumptions'!G47:G48))*'Assumptions'!$E$75</x:f>
        <x:v>250000</x:v>
      </x:c>
      <x:c r="I25" s="2"/>
      <x:c r="J25" s="2"/>
      <x:c r="K25" s="2"/>
      <x:c r="L25" s="2"/>
      <x:c r="M25" s="2"/>
      <x:c r="N25" s="2"/>
    </x:row>
    <x:row r="26" ht="23" customHeight="1">
      <x:c r="A26" s="2"/>
      <x:c r="B26" s="2"/>
      <x:c r="C26" s="2" t="str">
        <x:v>Added software / analytics</x:v>
      </x:c>
      <x:c r="D26" s="35"/>
      <x:c r="E26" s="35"/>
      <x:c r="F26" s="29" t="n">
        <x:f>'Assumptions'!E49</x:f>
        <x:v>0</x:v>
      </x:c>
      <x:c r="G26" s="29" t="n">
        <x:f>'Assumptions'!F49</x:f>
        <x:v>25000</x:v>
      </x:c>
      <x:c r="H26" s="29" t="n">
        <x:f>'Assumptions'!G49</x:f>
        <x:v>15000</x:v>
      </x:c>
      <x:c r="I26" s="2"/>
      <x:c r="J26" s="2"/>
      <x:c r="K26" s="2"/>
      <x:c r="L26" s="2"/>
      <x:c r="M26" s="2"/>
      <x:c r="N26" s="2"/>
    </x:row>
    <x:row r="27" ht="23" customHeight="1">
      <x:c r="A27" s="2"/>
      <x:c r="B27" s="2"/>
      <x:c r="C27" s="18" t="str">
        <x:v>Total year 1 operating cost</x:v>
      </x:c>
      <x:c r="D27" s="38"/>
      <x:c r="E27" s="38"/>
      <x:c r="F27" s="32" t="n">
        <x:f>SUM(F24:F26)</x:f>
        <x:v>968700</x:v>
      </x:c>
      <x:c r="G27" s="32" t="n">
        <x:f>SUM(G24:G26)</x:f>
        <x:v>569260</x:v>
      </x:c>
      <x:c r="H27" s="32" t="n">
        <x:f>SUM(H24:H26)</x:f>
        <x:v>778300</x:v>
      </x:c>
      <x:c r="I27" s="2"/>
      <x:c r="J27" s="2"/>
      <x:c r="K27" s="2"/>
      <x:c r="L27" s="2"/>
      <x:c r="M27" s="2"/>
      <x:c r="N27" s="2"/>
    </x:row>
    <x:row r="28" ht="23" customHeight="1">
      <x:c r="A28" s="2"/>
      <x:c r="B28" s="2"/>
      <x:c r="C28" s="2"/>
      <x:c r="D28" s="35"/>
      <x:c r="E28" s="35"/>
      <x:c r="F28" s="28"/>
      <x:c r="G28" s="28"/>
      <x:c r="H28" s="28"/>
      <x:c r="I28" s="2"/>
      <x:c r="J28" s="2"/>
      <x:c r="K28" s="2"/>
      <x:c r="L28" s="2"/>
      <x:c r="M28" s="2"/>
      <x:c r="N28" s="2"/>
    </x:row>
    <x:row r="29" ht="23" customHeight="1">
      <x:c r="A29" s="2"/>
      <x:c r="B29" s="2"/>
      <x:c r="C29" s="18" t="str">
        <x:v>Owner-retained savings versus A</x:v>
      </x:c>
      <x:c r="D29" s="38"/>
      <x:c r="E29" s="38"/>
      <x:c r="F29" s="40" t="n">
        <x:f>($F$27-F27)*'Assumptions'!$E$22</x:f>
        <x:v>0</x:v>
      </x:c>
      <x:c r="G29" s="40" t="n">
        <x:f>($F$27-G27)*'Assumptions'!$E$22</x:f>
        <x:v>399440</x:v>
      </x:c>
      <x:c r="H29" s="40" t="n">
        <x:f>($F$27-H27)*'Assumptions'!$E$22</x:f>
        <x:v>190400</x:v>
      </x:c>
      <x:c r="I29" s="2"/>
      <x:c r="J29" s="2"/>
      <x:c r="K29" s="2"/>
      <x:c r="L29" s="2"/>
      <x:c r="M29" s="2"/>
      <x:c r="N29" s="2"/>
    </x:row>
    <x:row r="30" ht="23" customHeight="1">
      <x:c r="A30" s="2"/>
      <x:c r="B30" s="2"/>
      <x:c r="C30" s="2"/>
      <x:c r="D30" s="35"/>
      <x:c r="E30" s="35"/>
      <x:c r="F30" s="35"/>
      <x:c r="G30" s="35"/>
      <x:c r="H30" s="35"/>
      <x:c r="I30" s="2"/>
      <x:c r="J30" s="2"/>
      <x:c r="K30" s="2"/>
      <x:c r="L30" s="2"/>
      <x:c r="M30" s="2"/>
      <x:c r="N30" s="2"/>
    </x:row>
    <x:row r="31" ht="23" customHeight="1">
      <x:c r="A31" s="2"/>
      <x:c r="B31" s="2"/>
      <x:c r="C31" s="5" t="str">
        <x:v>Ton-hours × kW/ton = kWh. Auxiliary kW × average input fraction × operating hours = kWh.</x:v>
      </x:c>
      <x:c r="D31" s="2"/>
      <x:c r="E31" s="2"/>
      <x:c r="F31" s="2"/>
      <x:c r="G31" s="2"/>
      <x:c r="H31" s="2"/>
      <x:c r="I31" s="2"/>
      <x:c r="J31" s="2"/>
      <x:c r="K31" s="2"/>
      <x:c r="L31" s="2"/>
      <x:c r="M31" s="2"/>
      <x:c r="N31" s="2"/>
    </x:row>
    <x:row r="32" ht="23" customHeight="1">
      <x:c r="A32" s="2"/>
      <x:c r="B32" s="2"/>
      <x:c r="C32" s="2"/>
      <x:c r="D32" s="2"/>
      <x:c r="E32" s="2"/>
      <x:c r="F32" s="2"/>
      <x:c r="G32" s="2"/>
      <x:c r="H32" s="2"/>
      <x:c r="I32" s="2"/>
      <x:c r="J32" s="2"/>
      <x:c r="K32" s="2"/>
      <x:c r="L32" s="2"/>
      <x:c r="M32" s="2"/>
      <x:c r="N32" s="2"/>
    </x:row>
    <x:row r="33" ht="23" customHeight="1">
      <x:c r="A33" s="2"/>
      <x:c r="B33" s="2"/>
      <x:c r="C33" s="2"/>
      <x:c r="D33" s="2"/>
      <x:c r="E33" s="2"/>
      <x:c r="F33" s="2"/>
      <x:c r="G33" s="2"/>
      <x:c r="H33" s="2"/>
      <x:c r="I33" s="2"/>
      <x:c r="J33" s="2"/>
      <x:c r="K33" s="2"/>
      <x:c r="L33" s="2"/>
      <x:c r="M33" s="2"/>
      <x:c r="N33" s="2"/>
    </x:row>
    <x:row r="34" ht="23" customHeight="1">
      <x:c r="A34" s="2"/>
      <x:c r="B34" s="2"/>
      <x:c r="C34" s="18" t="str">
        <x:v>Project year</x:v>
      </x:c>
      <x:c r="D34" s="18" t="n">
        <x:v>0</x:v>
      </x:c>
      <x:c r="E34" s="18" t="n">
        <x:v>1</x:v>
      </x:c>
      <x:c r="F34" s="18" t="n">
        <x:v>2</x:v>
      </x:c>
      <x:c r="G34" s="18" t="n">
        <x:v>3</x:v>
      </x:c>
      <x:c r="H34" s="18" t="n">
        <x:v>4</x:v>
      </x:c>
      <x:c r="I34" s="18" t="n">
        <x:v>5</x:v>
      </x:c>
      <x:c r="J34" s="18" t="n">
        <x:v>6</x:v>
      </x:c>
      <x:c r="K34" s="18" t="n">
        <x:v>7</x:v>
      </x:c>
      <x:c r="L34" s="18" t="n">
        <x:v>8</x:v>
      </x:c>
      <x:c r="M34" s="18" t="n">
        <x:v>9</x:v>
      </x:c>
      <x:c r="N34" s="18" t="n">
        <x:v>10</x:v>
      </x:c>
    </x:row>
    <x:row r="35" ht="23" customHeight="1">
      <x:c r="A35" s="2"/>
      <x:c r="B35" s="2"/>
      <x:c r="C35" s="2" t="str">
        <x:v>Cash-flow date</x:v>
      </x:c>
      <x:c r="D35" s="41" t="n">
        <x:f>'Assumptions'!$E$21</x:f>
        <x:v>46387</x:v>
      </x:c>
      <x:c r="E35" s="42" t="n">
        <x:f>DATE(YEAR($D$35)+E$34,12,31)</x:f>
        <x:v>46752</x:v>
      </x:c>
      <x:c r="F35" s="42" t="n">
        <x:f>DATE(YEAR($D$35)+F$34,12,31)</x:f>
        <x:v>47118</x:v>
      </x:c>
      <x:c r="G35" s="42" t="n">
        <x:f>DATE(YEAR($D$35)+G$34,12,31)</x:f>
        <x:v>47483</x:v>
      </x:c>
      <x:c r="H35" s="42" t="n">
        <x:f>DATE(YEAR($D$35)+H$34,12,31)</x:f>
        <x:v>47848</x:v>
      </x:c>
      <x:c r="I35" s="42" t="n">
        <x:f>DATE(YEAR($D$35)+I$34,12,31)</x:f>
        <x:v>48213</x:v>
      </x:c>
      <x:c r="J35" s="42" t="n">
        <x:f>DATE(YEAR($D$35)+J$34,12,31)</x:f>
        <x:v>48579</x:v>
      </x:c>
      <x:c r="K35" s="42" t="n">
        <x:f>DATE(YEAR($D$35)+K$34,12,31)</x:f>
        <x:v>48944</x:v>
      </x:c>
      <x:c r="L35" s="42" t="n">
        <x:f>DATE(YEAR($D$35)+L$34,12,31)</x:f>
        <x:v>49309</x:v>
      </x:c>
      <x:c r="M35" s="42" t="n">
        <x:f>DATE(YEAR($D$35)+M$34,12,31)</x:f>
        <x:v>49674</x:v>
      </x:c>
      <x:c r="N35" s="42" t="n">
        <x:f>DATE(YEAR($D$35)+N$34,12,31)</x:f>
        <x:v>50040</x:v>
      </x:c>
    </x:row>
    <x:row r="36" ht="23" customHeight="1">
      <x:c r="A36" s="2"/>
      <x:c r="B36" s="2"/>
      <x:c r="C36" s="2"/>
      <x:c r="D36" s="2"/>
      <x:c r="E36" s="2"/>
      <x:c r="F36" s="2"/>
      <x:c r="G36" s="2"/>
      <x:c r="H36" s="2"/>
      <x:c r="I36" s="2"/>
      <x:c r="J36" s="2"/>
      <x:c r="K36" s="2"/>
      <x:c r="L36" s="2"/>
      <x:c r="M36" s="2"/>
      <x:c r="N36" s="2"/>
    </x:row>
    <x:row r="37" ht="23" customHeight="1">
      <x:c r="A37" s="2"/>
      <x:c r="B37" s="2"/>
      <x:c r="C37" s="2" t="str">
        <x:v>Electricity price ($/kWh)</x:v>
      </x:c>
      <x:c r="D37" s="43" t="n">
        <x:f>0</x:f>
        <x:v>0</x:v>
      </x:c>
      <x:c r="E37" s="44" t="n">
        <x:f>'Assumptions'!$E$60*(1+'Assumptions'!$E$19)^(E$34-1)</x:f>
        <x:v>0.2</x:v>
      </x:c>
      <x:c r="F37" s="44" t="n">
        <x:f>'Assumptions'!$E$60*(1+'Assumptions'!$E$19)^(F$34-1)</x:f>
        <x:v>0.205</x:v>
      </x:c>
      <x:c r="G37" s="44" t="n">
        <x:f>'Assumptions'!$E$60*(1+'Assumptions'!$E$19)^(G$34-1)</x:f>
        <x:v>0.210125</x:v>
      </x:c>
      <x:c r="H37" s="44" t="n">
        <x:f>'Assumptions'!$E$60*(1+'Assumptions'!$E$19)^(H$34-1)</x:f>
        <x:v>0.21537812499999995</x:v>
      </x:c>
      <x:c r="I37" s="44" t="n">
        <x:f>'Assumptions'!$E$60*(1+'Assumptions'!$E$19)^(I$34-1)</x:f>
        <x:v>0.22076257812499991</x:v>
      </x:c>
      <x:c r="J37" s="44" t="n">
        <x:f>'Assumptions'!$E$60*(1+'Assumptions'!$E$19)^(J$34-1)</x:f>
        <x:v>0.2262816425781249</x:v>
      </x:c>
      <x:c r="K37" s="44" t="n">
        <x:f>'Assumptions'!$E$60*(1+'Assumptions'!$E$19)^(K$34-1)</x:f>
        <x:v>0.231938683642578</x:v>
      </x:c>
      <x:c r="L37" s="44" t="n">
        <x:f>'Assumptions'!$E$60*(1+'Assumptions'!$E$19)^(L$34-1)</x:f>
        <x:v>0.23773715073364246</x:v>
      </x:c>
      <x:c r="M37" s="44" t="n">
        <x:f>'Assumptions'!$E$60*(1+'Assumptions'!$E$19)^(M$34-1)</x:f>
        <x:v>0.24368057950198346</x:v>
      </x:c>
      <x:c r="N37" s="44" t="n">
        <x:f>'Assumptions'!$E$60*(1+'Assumptions'!$E$19)^(N$34-1)</x:f>
        <x:v>0.24977259398953305</x:v>
      </x:c>
    </x:row>
    <x:row r="38" ht="23" customHeight="1">
      <x:c r="A38" s="2"/>
      <x:c r="B38" s="2"/>
      <x:c r="C38" s="2" t="str">
        <x:v>O&amp;M escalation factor</x:v>
      </x:c>
      <x:c r="D38" s="45" t="n">
        <x:f>0</x:f>
        <x:v>0</x:v>
      </x:c>
      <x:c r="E38" s="46" t="n">
        <x:f>(1+'Assumptions'!$E$20)^(E$34-1)</x:f>
        <x:v>1</x:v>
      </x:c>
      <x:c r="F38" s="46" t="n">
        <x:f>(1+'Assumptions'!$E$20)^(F$34-1)</x:f>
        <x:v>1.025</x:v>
      </x:c>
      <x:c r="G38" s="46" t="n">
        <x:f>(1+'Assumptions'!$E$20)^(G$34-1)</x:f>
        <x:v>1.050625</x:v>
      </x:c>
      <x:c r="H38" s="46" t="n">
        <x:f>(1+'Assumptions'!$E$20)^(H$34-1)</x:f>
        <x:v>1.0768906249999997</x:v>
      </x:c>
      <x:c r="I38" s="46" t="n">
        <x:f>(1+'Assumptions'!$E$20)^(I$34-1)</x:f>
        <x:v>1.1038128906249995</x:v>
      </x:c>
      <x:c r="J38" s="46" t="n">
        <x:f>(1+'Assumptions'!$E$20)^(J$34-1)</x:f>
        <x:v>1.1314082128906244</x:v>
      </x:c>
      <x:c r="K38" s="46" t="n">
        <x:f>(1+'Assumptions'!$E$20)^(K$34-1)</x:f>
        <x:v>1.15969341821289</x:v>
      </x:c>
      <x:c r="L38" s="46" t="n">
        <x:f>(1+'Assumptions'!$E$20)^(L$34-1)</x:f>
        <x:v>1.1886857536682123</x:v>
      </x:c>
      <x:c r="M38" s="46" t="n">
        <x:f>(1+'Assumptions'!$E$20)^(M$34-1)</x:f>
        <x:v>1.2184028975099173</x:v>
      </x:c>
      <x:c r="N38" s="46" t="n">
        <x:f>(1+'Assumptions'!$E$20)^(N$34-1)</x:f>
        <x:v>1.2488629699476652</x:v>
      </x:c>
    </x:row>
    <x:row r="39" ht="23" customHeight="1">
      <x:c r="A39" s="2"/>
      <x:c r="B39" s="2"/>
      <x:c r="C39" s="2"/>
      <x:c r="D39" s="2"/>
      <x:c r="E39" s="2"/>
      <x:c r="F39" s="2"/>
      <x:c r="G39" s="2"/>
      <x:c r="H39" s="2"/>
      <x:c r="I39" s="2"/>
      <x:c r="J39" s="2"/>
      <x:c r="K39" s="2"/>
      <x:c r="L39" s="2"/>
      <x:c r="M39" s="2"/>
      <x:c r="N39" s="2"/>
    </x:row>
    <x:row r="40" ht="23" customHeight="1">
      <x:c r="A40" s="2"/>
      <x:c r="B40" s="2"/>
      <x:c r="C40" s="18" t="str">
        <x:v>A Existing</x:v>
      </x:c>
      <x:c r="D40" s="18"/>
      <x:c r="E40" s="18"/>
      <x:c r="F40" s="18"/>
      <x:c r="G40" s="18"/>
      <x:c r="H40" s="18"/>
      <x:c r="I40" s="18"/>
      <x:c r="J40" s="18"/>
      <x:c r="K40" s="18"/>
      <x:c r="L40" s="18"/>
      <x:c r="M40" s="18"/>
      <x:c r="N40" s="18"/>
    </x:row>
    <x:row r="41" ht="23" customHeight="1">
      <x:c r="A41" s="2"/>
      <x:c r="B41" s="2"/>
      <x:c r="C41" s="2" t="str">
        <x:v>Electricity</x:v>
      </x:c>
      <x:c r="D41" s="28" t="n">
        <x:f>$F$21*D37</x:f>
        <x:v>0</x:v>
      </x:c>
      <x:c r="E41" s="28" t="n">
        <x:f>$F$21*E37</x:f>
        <x:v>608700</x:v>
      </x:c>
      <x:c r="F41" s="28" t="n">
        <x:f>$F$21*F37</x:f>
        <x:v>623917.5</x:v>
      </x:c>
      <x:c r="G41" s="28" t="n">
        <x:f>$F$21*G37</x:f>
        <x:v>639515.4375</x:v>
      </x:c>
      <x:c r="H41" s="28" t="n">
        <x:f>$F$21*H37</x:f>
        <x:v>655503.3234374998</x:v>
      </x:c>
      <x:c r="I41" s="28" t="n">
        <x:f>$F$21*I37</x:f>
        <x:v>671890.9065234372</x:v>
      </x:c>
      <x:c r="J41" s="28" t="n">
        <x:f>$F$21*J37</x:f>
        <x:v>688688.1791865231</x:v>
      </x:c>
      <x:c r="K41" s="28" t="n">
        <x:f>$F$21*K37</x:f>
        <x:v>705905.3836661861</x:v>
      </x:c>
      <x:c r="L41" s="28" t="n">
        <x:f>$F$21*L37</x:f>
        <x:v>723553.0182578409</x:v>
      </x:c>
      <x:c r="M41" s="28" t="n">
        <x:f>$F$21*M37</x:f>
        <x:v>741641.8437142867</x:v>
      </x:c>
      <x:c r="N41" s="28" t="n">
        <x:f>$F$21*N37</x:f>
        <x:v>760182.8898071438</x:v>
      </x:c>
    </x:row>
    <x:row r="42" ht="23" customHeight="1">
      <x:c r="A42" s="2"/>
      <x:c r="B42" s="2"/>
      <x:c r="C42" s="2" t="str">
        <x:v>Maintenance and repairs</x:v>
      </x:c>
      <x:c r="D42" s="28" t="n">
        <x:f>$F$25*D38</x:f>
        <x:v>0</x:v>
      </x:c>
      <x:c r="E42" s="28" t="n">
        <x:f>$F$25*E38</x:f>
        <x:v>360000</x:v>
      </x:c>
      <x:c r="F42" s="28" t="n">
        <x:f>$F$25*F38</x:f>
        <x:v>368999.99999999994</x:v>
      </x:c>
      <x:c r="G42" s="28" t="n">
        <x:f>$F$25*G38</x:f>
        <x:v>378225</x:v>
      </x:c>
      <x:c r="H42" s="28" t="n">
        <x:f>$F$25*H38</x:f>
        <x:v>387680.6249999999</x:v>
      </x:c>
      <x:c r="I42" s="28" t="n">
        <x:f>$F$25*I38</x:f>
        <x:v>397372.6406249998</x:v>
      </x:c>
      <x:c r="J42" s="28" t="n">
        <x:f>$F$25*J38</x:f>
        <x:v>407306.9566406248</x:v>
      </x:c>
      <x:c r="K42" s="28" t="n">
        <x:f>$F$25*K38</x:f>
        <x:v>417489.6305566404</x:v>
      </x:c>
      <x:c r="L42" s="28" t="n">
        <x:f>$F$25*L38</x:f>
        <x:v>427926.87132055644</x:v>
      </x:c>
      <x:c r="M42" s="28" t="n">
        <x:f>$F$25*M38</x:f>
        <x:v>438625.04310357023</x:v>
      </x:c>
      <x:c r="N42" s="28" t="n">
        <x:f>$F$25*N38</x:f>
        <x:v>449590.66918115946</x:v>
      </x:c>
    </x:row>
    <x:row r="43" ht="23" customHeight="1">
      <x:c r="A43" s="2"/>
      <x:c r="B43" s="2"/>
      <x:c r="C43" s="2" t="str">
        <x:v>Added analytics</x:v>
      </x:c>
      <x:c r="D43" s="28" t="n">
        <x:f>$F$26*D38</x:f>
        <x:v>0</x:v>
      </x:c>
      <x:c r="E43" s="28" t="n">
        <x:f>$F$26*E38</x:f>
        <x:v>0</x:v>
      </x:c>
      <x:c r="F43" s="28" t="n">
        <x:f>$F$26*F38</x:f>
        <x:v>0</x:v>
      </x:c>
      <x:c r="G43" s="28" t="n">
        <x:f>$F$26*G38</x:f>
        <x:v>0</x:v>
      </x:c>
      <x:c r="H43" s="28" t="n">
        <x:f>$F$26*H38</x:f>
        <x:v>0</x:v>
      </x:c>
      <x:c r="I43" s="28" t="n">
        <x:f>$F$26*I38</x:f>
        <x:v>0</x:v>
      </x:c>
      <x:c r="J43" s="28" t="n">
        <x:f>$F$26*J38</x:f>
        <x:v>0</x:v>
      </x:c>
      <x:c r="K43" s="28" t="n">
        <x:f>$F$26*K38</x:f>
        <x:v>0</x:v>
      </x:c>
      <x:c r="L43" s="28" t="n">
        <x:f>$F$26*L38</x:f>
        <x:v>0</x:v>
      </x:c>
      <x:c r="M43" s="28" t="n">
        <x:f>$F$26*M38</x:f>
        <x:v>0</x:v>
      </x:c>
      <x:c r="N43" s="28" t="n">
        <x:f>$F$26*N38</x:f>
        <x:v>0</x:v>
      </x:c>
    </x:row>
    <x:row r="44" ht="23" customHeight="1">
      <x:c r="A44" s="2"/>
      <x:c r="B44" s="2"/>
      <x:c r="C44" s="2" t="str">
        <x:v>Total operating cost</x:v>
      </x:c>
      <x:c r="D44" s="28" t="n">
        <x:f>SUM(D41:D43)</x:f>
        <x:v>0</x:v>
      </x:c>
      <x:c r="E44" s="28" t="n">
        <x:f>SUM(E41:E43)</x:f>
        <x:v>968700</x:v>
      </x:c>
      <x:c r="F44" s="28" t="n">
        <x:f>SUM(F41:F43)</x:f>
        <x:v>992917.5</x:v>
      </x:c>
      <x:c r="G44" s="28" t="n">
        <x:f>SUM(G41:G43)</x:f>
        <x:v>1017740.4375</x:v>
      </x:c>
      <x:c r="H44" s="28" t="n">
        <x:f>SUM(H41:H43)</x:f>
        <x:v>1043183.9484374997</x:v>
      </x:c>
      <x:c r="I44" s="28" t="n">
        <x:f>SUM(I41:I43)</x:f>
        <x:v>1069263.547148437</x:v>
      </x:c>
      <x:c r="J44" s="28" t="n">
        <x:f>SUM(J41:J43)</x:f>
        <x:v>1095995.1358271479</x:v>
      </x:c>
      <x:c r="K44" s="28" t="n">
        <x:f>SUM(K41:K43)</x:f>
        <x:v>1123395.0142228266</x:v>
      </x:c>
      <x:c r="L44" s="28" t="n">
        <x:f>SUM(L41:L43)</x:f>
        <x:v>1151479.8895783974</x:v>
      </x:c>
      <x:c r="M44" s="28" t="n">
        <x:f>SUM(M41:M43)</x:f>
        <x:v>1180266.886817857</x:v>
      </x:c>
      <x:c r="N44" s="28" t="n">
        <x:f>SUM(N41:N43)</x:f>
        <x:v>1209773.5589883034</x:v>
      </x:c>
    </x:row>
    <x:row r="45" ht="23" customHeight="1">
      <x:c r="A45" s="2"/>
      <x:c r="B45" s="2"/>
      <x:c r="C45" s="2"/>
      <x:c r="D45" s="2"/>
      <x:c r="E45" s="2"/>
      <x:c r="F45" s="2"/>
      <x:c r="G45" s="2"/>
      <x:c r="H45" s="2"/>
      <x:c r="I45" s="2"/>
      <x:c r="J45" s="2"/>
      <x:c r="K45" s="2"/>
      <x:c r="L45" s="2"/>
      <x:c r="M45" s="2"/>
      <x:c r="N45" s="2"/>
    </x:row>
    <x:row r="46" ht="23" customHeight="1">
      <x:c r="A46" s="2"/>
      <x:c r="B46" s="2"/>
      <x:c r="C46" s="2"/>
      <x:c r="D46" s="2"/>
      <x:c r="E46" s="2"/>
      <x:c r="F46" s="2"/>
      <x:c r="G46" s="2"/>
      <x:c r="H46" s="2"/>
      <x:c r="I46" s="2"/>
      <x:c r="J46" s="2"/>
      <x:c r="K46" s="2"/>
      <x:c r="L46" s="2"/>
      <x:c r="M46" s="2"/>
      <x:c r="N46" s="2"/>
    </x:row>
    <x:row r="47" ht="23" customHeight="1">
      <x:c r="A47" s="2"/>
      <x:c r="B47" s="2"/>
      <x:c r="C47" s="18" t="str">
        <x:v>B Full</x:v>
      </x:c>
      <x:c r="D47" s="18"/>
      <x:c r="E47" s="18"/>
      <x:c r="F47" s="18"/>
      <x:c r="G47" s="18"/>
      <x:c r="H47" s="18"/>
      <x:c r="I47" s="18"/>
      <x:c r="J47" s="18"/>
      <x:c r="K47" s="18"/>
      <x:c r="L47" s="18"/>
      <x:c r="M47" s="18"/>
      <x:c r="N47" s="18"/>
    </x:row>
    <x:row r="48" ht="23" customHeight="1">
      <x:c r="A48" s="2"/>
      <x:c r="B48" s="2"/>
      <x:c r="C48" s="2" t="str">
        <x:v>Electricity</x:v>
      </x:c>
      <x:c r="D48" s="28" t="n">
        <x:f>$G$21*D37</x:f>
        <x:v>0</x:v>
      </x:c>
      <x:c r="E48" s="28" t="n">
        <x:f>$G$21*E37</x:f>
        <x:v>379260</x:v>
      </x:c>
      <x:c r="F48" s="28" t="n">
        <x:f>$G$21*F37</x:f>
        <x:v>388741.5</x:v>
      </x:c>
      <x:c r="G48" s="28" t="n">
        <x:f>$G$21*G37</x:f>
        <x:v>398460.03750000003</x:v>
      </x:c>
      <x:c r="H48" s="28" t="n">
        <x:f>$G$21*H37</x:f>
        <x:v>408421.5384374999</x:v>
      </x:c>
      <x:c r="I48" s="28" t="n">
        <x:f>$G$21*I37</x:f>
        <x:v>418632.07689843734</x:v>
      </x:c>
      <x:c r="J48" s="28" t="n">
        <x:f>$G$21*J37</x:f>
        <x:v>429097.87882089824</x:v>
      </x:c>
      <x:c r="K48" s="28" t="n">
        <x:f>$G$21*K37</x:f>
        <x:v>439825.32579142065</x:v>
      </x:c>
      <x:c r="L48" s="28" t="n">
        <x:f>$G$21*L37</x:f>
        <x:v>450820.9589362062</x:v>
      </x:c>
      <x:c r="M48" s="28" t="n">
        <x:f>$G$21*M37</x:f>
        <x:v>462091.48290961125</x:v>
      </x:c>
      <x:c r="N48" s="28" t="n">
        <x:f>$G$21*N37</x:f>
        <x:v>473643.7699823515</x:v>
      </x:c>
    </x:row>
    <x:row r="49" ht="23" customHeight="1">
      <x:c r="A49" s="2"/>
      <x:c r="B49" s="2"/>
      <x:c r="C49" s="2" t="str">
        <x:v>Maintenance and repairs</x:v>
      </x:c>
      <x:c r="D49" s="28" t="n">
        <x:f>$G$25*D38</x:f>
        <x:v>0</x:v>
      </x:c>
      <x:c r="E49" s="28" t="n">
        <x:f>$G$25*E38</x:f>
        <x:v>165000</x:v>
      </x:c>
      <x:c r="F49" s="28" t="n">
        <x:f>$G$25*F38</x:f>
        <x:v>169124.99999999997</x:v>
      </x:c>
      <x:c r="G49" s="28" t="n">
        <x:f>$G$25*G38</x:f>
        <x:v>173353.125</x:v>
      </x:c>
      <x:c r="H49" s="28" t="n">
        <x:f>$G$25*H38</x:f>
        <x:v>177686.95312499994</x:v>
      </x:c>
      <x:c r="I49" s="28" t="n">
        <x:f>$G$25*I38</x:f>
        <x:v>182129.1269531249</x:v>
      </x:c>
      <x:c r="J49" s="28" t="n">
        <x:f>$G$25*J38</x:f>
        <x:v>186682.35512695304</x:v>
      </x:c>
      <x:c r="K49" s="28" t="n">
        <x:f>$G$25*K38</x:f>
        <x:v>191349.41400512683</x:v>
      </x:c>
      <x:c r="L49" s="28" t="n">
        <x:f>$G$25*L38</x:f>
        <x:v>196133.14935525504</x:v>
      </x:c>
      <x:c r="M49" s="28" t="n">
        <x:f>$G$25*M38</x:f>
        <x:v>201036.47808913633</x:v>
      </x:c>
      <x:c r="N49" s="28" t="n">
        <x:f>$G$25*N38</x:f>
        <x:v>206062.39004136476</x:v>
      </x:c>
    </x:row>
    <x:row r="50" ht="23" customHeight="1">
      <x:c r="A50" s="2"/>
      <x:c r="B50" s="2"/>
      <x:c r="C50" s="2" t="str">
        <x:v>Added analytics</x:v>
      </x:c>
      <x:c r="D50" s="28" t="n">
        <x:f>$G$26*D38</x:f>
        <x:v>0</x:v>
      </x:c>
      <x:c r="E50" s="28" t="n">
        <x:f>$G$26*E38</x:f>
        <x:v>25000</x:v>
      </x:c>
      <x:c r="F50" s="28" t="n">
        <x:f>$G$26*F38</x:f>
        <x:v>25624.999999999996</x:v>
      </x:c>
      <x:c r="G50" s="28" t="n">
        <x:f>$G$26*G38</x:f>
        <x:v>26265.624999999996</x:v>
      </x:c>
      <x:c r="H50" s="28" t="n">
        <x:f>$G$26*H38</x:f>
        <x:v>26922.265624999993</x:v>
      </x:c>
      <x:c r="I50" s="28" t="n">
        <x:f>$G$26*I38</x:f>
        <x:v>27595.32226562499</x:v>
      </x:c>
      <x:c r="J50" s="28" t="n">
        <x:f>$G$26*J38</x:f>
        <x:v>28285.20532226561</x:v>
      </x:c>
      <x:c r="K50" s="28" t="n">
        <x:f>$G$26*K38</x:f>
        <x:v>28992.33545532225</x:v>
      </x:c>
      <x:c r="L50" s="28" t="n">
        <x:f>$G$26*L38</x:f>
        <x:v>29717.143841705307</x:v>
      </x:c>
      <x:c r="M50" s="28" t="n">
        <x:f>$G$26*M38</x:f>
        <x:v>30460.07243774793</x:v>
      </x:c>
      <x:c r="N50" s="28" t="n">
        <x:f>$G$26*N38</x:f>
        <x:v>31221.57424869163</x:v>
      </x:c>
    </x:row>
    <x:row r="51" ht="23" customHeight="1">
      <x:c r="A51" s="2"/>
      <x:c r="B51" s="2"/>
      <x:c r="C51" s="2" t="str">
        <x:v>Total operating cost</x:v>
      </x:c>
      <x:c r="D51" s="28" t="n">
        <x:f>SUM(D48:D50)</x:f>
        <x:v>0</x:v>
      </x:c>
      <x:c r="E51" s="28" t="n">
        <x:f>SUM(E48:E50)</x:f>
        <x:v>569260</x:v>
      </x:c>
      <x:c r="F51" s="28" t="n">
        <x:f>SUM(F48:F50)</x:f>
        <x:v>583491.5</x:v>
      </x:c>
      <x:c r="G51" s="28" t="n">
        <x:f>SUM(G48:G50)</x:f>
        <x:v>598078.7875000001</x:v>
      </x:c>
      <x:c r="H51" s="28" t="n">
        <x:f>SUM(H48:H50)</x:f>
        <x:v>613030.7571874999</x:v>
      </x:c>
      <x:c r="I51" s="28" t="n">
        <x:f>SUM(I48:I50)</x:f>
        <x:v>628356.5261171872</x:v>
      </x:c>
      <x:c r="J51" s="28" t="n">
        <x:f>SUM(J48:J50)</x:f>
        <x:v>644065.4392701169</x:v>
      </x:c>
      <x:c r="K51" s="28" t="n">
        <x:f>SUM(K48:K50)</x:f>
        <x:v>660167.0752518697</x:v>
      </x:c>
      <x:c r="L51" s="28" t="n">
        <x:f>SUM(L48:L50)</x:f>
        <x:v>676671.2521331665</x:v>
      </x:c>
      <x:c r="M51" s="28" t="n">
        <x:f>SUM(M48:M50)</x:f>
        <x:v>693588.0334364956</x:v>
      </x:c>
      <x:c r="N51" s="28" t="n">
        <x:f>SUM(N48:N50)</x:f>
        <x:v>710927.734272408</x:v>
      </x:c>
    </x:row>
    <x:row r="52" ht="23" customHeight="1">
      <x:c r="A52" s="2"/>
      <x:c r="B52" s="2"/>
      <x:c r="C52" s="2"/>
      <x:c r="D52" s="2"/>
      <x:c r="E52" s="2"/>
      <x:c r="F52" s="2"/>
      <x:c r="G52" s="2"/>
      <x:c r="H52" s="2"/>
      <x:c r="I52" s="2"/>
      <x:c r="J52" s="2"/>
      <x:c r="K52" s="2"/>
      <x:c r="L52" s="2"/>
      <x:c r="M52" s="2"/>
      <x:c r="N52" s="2"/>
    </x:row>
    <x:row r="53" ht="23" customHeight="1">
      <x:c r="A53" s="2"/>
      <x:c r="B53" s="2"/>
      <x:c r="C53" s="2"/>
      <x:c r="D53" s="2"/>
      <x:c r="E53" s="2"/>
      <x:c r="F53" s="2"/>
      <x:c r="G53" s="2"/>
      <x:c r="H53" s="2"/>
      <x:c r="I53" s="2"/>
      <x:c r="J53" s="2"/>
      <x:c r="K53" s="2"/>
      <x:c r="L53" s="2"/>
      <x:c r="M53" s="2"/>
      <x:c r="N53" s="2"/>
    </x:row>
    <x:row r="54" ht="23" customHeight="1">
      <x:c r="A54" s="2"/>
      <x:c r="B54" s="2"/>
      <x:c r="C54" s="18" t="str">
        <x:v>C Partial</x:v>
      </x:c>
      <x:c r="D54" s="18"/>
      <x:c r="E54" s="18"/>
      <x:c r="F54" s="18"/>
      <x:c r="G54" s="18"/>
      <x:c r="H54" s="18"/>
      <x:c r="I54" s="18"/>
      <x:c r="J54" s="18"/>
      <x:c r="K54" s="18"/>
      <x:c r="L54" s="18"/>
      <x:c r="M54" s="18"/>
      <x:c r="N54" s="18"/>
    </x:row>
    <x:row r="55" ht="23" customHeight="1">
      <x:c r="A55" s="2"/>
      <x:c r="B55" s="2"/>
      <x:c r="C55" s="2" t="str">
        <x:v>Electricity</x:v>
      </x:c>
      <x:c r="D55" s="28" t="n">
        <x:f>$H$21*D37</x:f>
        <x:v>0</x:v>
      </x:c>
      <x:c r="E55" s="28" t="n">
        <x:f>$H$21*E37</x:f>
        <x:v>513300</x:v>
      </x:c>
      <x:c r="F55" s="28" t="n">
        <x:f>$H$21*F37</x:f>
        <x:v>526132.5</x:v>
      </x:c>
      <x:c r="G55" s="28" t="n">
        <x:f>$H$21*G37</x:f>
        <x:v>539285.8125</x:v>
      </x:c>
      <x:c r="H55" s="28" t="n">
        <x:f>$H$21*H37</x:f>
        <x:v>552767.9578124998</x:v>
      </x:c>
      <x:c r="I55" s="28" t="n">
        <x:f>$H$21*I37</x:f>
        <x:v>566587.1567578122</x:v>
      </x:c>
      <x:c r="J55" s="28" t="n">
        <x:f>$H$21*J37</x:f>
        <x:v>580751.8356767575</x:v>
      </x:c>
      <x:c r="K55" s="28" t="n">
        <x:f>$H$21*K37</x:f>
        <x:v>595270.6315686764</x:v>
      </x:c>
      <x:c r="L55" s="28" t="n">
        <x:f>$H$21*L37</x:f>
        <x:v>610152.3973578934</x:v>
      </x:c>
      <x:c r="M55" s="28" t="n">
        <x:f>$H$21*M37</x:f>
        <x:v>625406.2072918406</x:v>
      </x:c>
      <x:c r="N55" s="28" t="n">
        <x:f>$H$21*N37</x:f>
        <x:v>641041.3624741366</x:v>
      </x:c>
    </x:row>
    <x:row r="56" ht="23" customHeight="1">
      <x:c r="A56" s="2"/>
      <x:c r="B56" s="2"/>
      <x:c r="C56" s="2" t="str">
        <x:v>Maintenance and repairs</x:v>
      </x:c>
      <x:c r="D56" s="28" t="n">
        <x:f>$H$25*D38</x:f>
        <x:v>0</x:v>
      </x:c>
      <x:c r="E56" s="28" t="n">
        <x:f>$H$25*E38</x:f>
        <x:v>250000</x:v>
      </x:c>
      <x:c r="F56" s="28" t="n">
        <x:f>$H$25*F38</x:f>
        <x:v>256249.99999999997</x:v>
      </x:c>
      <x:c r="G56" s="28" t="n">
        <x:f>$H$25*G38</x:f>
        <x:v>262656.25</x:v>
      </x:c>
      <x:c r="H56" s="28" t="n">
        <x:f>$H$25*H38</x:f>
        <x:v>269222.65624999994</x:v>
      </x:c>
      <x:c r="I56" s="28" t="n">
        <x:f>$H$25*I38</x:f>
        <x:v>275953.2226562499</x:v>
      </x:c>
      <x:c r="J56" s="28" t="n">
        <x:f>$H$25*J38</x:f>
        <x:v>282852.05322265613</x:v>
      </x:c>
      <x:c r="K56" s="28" t="n">
        <x:f>$H$25*K38</x:f>
        <x:v>289923.3545532225</x:v>
      </x:c>
      <x:c r="L56" s="28" t="n">
        <x:f>$H$25*L38</x:f>
        <x:v>297171.4384170531</x:v>
      </x:c>
      <x:c r="M56" s="28" t="n">
        <x:f>$H$25*M38</x:f>
        <x:v>304600.7243774793</x:v>
      </x:c>
      <x:c r="N56" s="28" t="n">
        <x:f>$H$25*N38</x:f>
        <x:v>312215.7424869163</x:v>
      </x:c>
    </x:row>
    <x:row r="57" ht="23" customHeight="1">
      <x:c r="A57" s="2"/>
      <x:c r="B57" s="2"/>
      <x:c r="C57" s="2" t="str">
        <x:v>Added analytics</x:v>
      </x:c>
      <x:c r="D57" s="28" t="n">
        <x:f>$H$26*D38</x:f>
        <x:v>0</x:v>
      </x:c>
      <x:c r="E57" s="28" t="n">
        <x:f>$H$26*E38</x:f>
        <x:v>15000</x:v>
      </x:c>
      <x:c r="F57" s="28" t="n">
        <x:f>$H$26*F38</x:f>
        <x:v>15374.999999999998</x:v>
      </x:c>
      <x:c r="G57" s="28" t="n">
        <x:f>$H$26*G38</x:f>
        <x:v>15759.374999999998</x:v>
      </x:c>
      <x:c r="H57" s="28" t="n">
        <x:f>$H$26*H38</x:f>
        <x:v>16153.359374999995</x:v>
      </x:c>
      <x:c r="I57" s="28" t="n">
        <x:f>$H$26*I38</x:f>
        <x:v>16557.193359374993</x:v>
      </x:c>
      <x:c r="J57" s="28" t="n">
        <x:f>$H$26*J38</x:f>
        <x:v>16971.123193359366</x:v>
      </x:c>
      <x:c r="K57" s="28" t="n">
        <x:f>$H$26*K38</x:f>
        <x:v>17395.40127319335</x:v>
      </x:c>
      <x:c r="L57" s="28" t="n">
        <x:f>$H$26*L38</x:f>
        <x:v>17830.286305023183</x:v>
      </x:c>
      <x:c r="M57" s="28" t="n">
        <x:f>$H$26*M38</x:f>
        <x:v>18276.04346264876</x:v>
      </x:c>
      <x:c r="N57" s="28" t="n">
        <x:f>$H$26*N38</x:f>
        <x:v>18732.94454921498</x:v>
      </x:c>
    </x:row>
    <x:row r="58" ht="23" customHeight="1">
      <x:c r="A58" s="2"/>
      <x:c r="B58" s="2"/>
      <x:c r="C58" s="2" t="str">
        <x:v>Total operating cost</x:v>
      </x:c>
      <x:c r="D58" s="28" t="n">
        <x:f>SUM(D55:D57)</x:f>
        <x:v>0</x:v>
      </x:c>
      <x:c r="E58" s="28" t="n">
        <x:f>SUM(E55:E57)</x:f>
        <x:v>778300</x:v>
      </x:c>
      <x:c r="F58" s="28" t="n">
        <x:f>SUM(F55:F57)</x:f>
        <x:v>797757.5</x:v>
      </x:c>
      <x:c r="G58" s="28" t="n">
        <x:f>SUM(G55:G57)</x:f>
        <x:v>817701.4375</x:v>
      </x:c>
      <x:c r="H58" s="28" t="n">
        <x:f>SUM(H55:H57)</x:f>
        <x:v>838143.9734374997</x:v>
      </x:c>
      <x:c r="I58" s="28" t="n">
        <x:f>SUM(I55:I57)</x:f>
        <x:v>859097.5727734371</x:v>
      </x:c>
      <x:c r="J58" s="28" t="n">
        <x:f>SUM(J55:J57)</x:f>
        <x:v>880575.012092773</x:v>
      </x:c>
      <x:c r="K58" s="28" t="n">
        <x:f>SUM(K55:K57)</x:f>
        <x:v>902589.3873950923</x:v>
      </x:c>
      <x:c r="L58" s="28" t="n">
        <x:f>SUM(L55:L57)</x:f>
        <x:v>925154.1220799696</x:v>
      </x:c>
      <x:c r="M58" s="28" t="n">
        <x:f>SUM(M55:M57)</x:f>
        <x:v>948282.9751319686</x:v>
      </x:c>
      <x:c r="N58" s="28" t="n">
        <x:f>SUM(N55:N57)</x:f>
        <x:v>971990.049510268</x:v>
      </x:c>
    </x:row>
    <x:row r="59" ht="23" customHeight="1">
      <x:c r="A59" s="2"/>
      <x:c r="B59" s="2"/>
      <x:c r="C59" s="2"/>
      <x:c r="D59" s="2"/>
      <x:c r="E59" s="2"/>
      <x:c r="F59" s="2"/>
      <x:c r="G59" s="2"/>
      <x:c r="H59" s="2"/>
      <x:c r="I59" s="2"/>
      <x:c r="J59" s="2"/>
      <x:c r="K59" s="2"/>
      <x:c r="L59" s="2"/>
      <x:c r="M59" s="2"/>
      <x:c r="N59" s="2"/>
    </x:row>
    <x:row r="60" ht="23" customHeight="1">
      <x:c r="A60" s="2"/>
      <x:c r="B60" s="2"/>
      <x:c r="C60" s="2"/>
      <x:c r="D60" s="2"/>
      <x:c r="E60" s="2"/>
      <x:c r="F60" s="2"/>
      <x:c r="G60" s="2"/>
      <x:c r="H60" s="2"/>
      <x:c r="I60" s="2"/>
      <x:c r="J60" s="2"/>
      <x:c r="K60" s="2"/>
      <x:c r="L60" s="2"/>
      <x:c r="M60" s="2"/>
      <x:c r="N60" s="2"/>
    </x:row>
    <x:row r="61" ht="23" customHeight="1">
      <x:c r="A61" s="2"/>
      <x:c r="B61" s="2"/>
      <x:c r="C61" s="2"/>
      <x:c r="D61" s="2"/>
      <x:c r="E61" s="2"/>
      <x:c r="F61" s="2"/>
      <x:c r="G61" s="2"/>
      <x:c r="H61" s="2"/>
      <x:c r="I61" s="2"/>
      <x:c r="J61" s="2"/>
      <x:c r="K61" s="2"/>
      <x:c r="L61" s="2"/>
      <x:c r="M61" s="2"/>
      <x:c r="N61" s="2"/>
    </x:row>
    <x:row r="62" ht="28" customHeight="1">
      <x:c r="A62" s="2"/>
      <x:c r="B62" s="2"/>
      <x:c r="C62" s="11" t="str">
        <x:v>LL97 screening</x:v>
      </x:c>
      <x:c r="D62" s="11" t="str">
        <x:v>Unit</x:v>
      </x:c>
      <x:c r="E62" s="11" t="str">
        <x:v>A Existing</x:v>
      </x:c>
      <x:c r="F62" s="11" t="str">
        <x:v>B Full</x:v>
      </x:c>
      <x:c r="G62" s="11" t="str">
        <x:v>C Partial</x:v>
      </x:c>
      <x:c r="H62" s="2"/>
      <x:c r="I62" s="2"/>
      <x:c r="J62" s="2"/>
      <x:c r="K62" s="2"/>
      <x:c r="L62" s="2"/>
      <x:c r="M62" s="2"/>
      <x:c r="N62" s="2"/>
    </x:row>
    <x:row r="63" ht="23" customHeight="1">
      <x:c r="A63" s="2"/>
      <x:c r="B63" s="2"/>
      <x:c r="C63" s="2" t="str">
        <x:v>Whole-building electricity</x:v>
      </x:c>
      <x:c r="D63" s="2" t="str">
        <x:v>kWh/year</x:v>
      </x:c>
      <x:c r="E63" s="47" t="n">
        <x:f>F21+'Assumptions'!$E$14</x:f>
        <x:v>9043500</x:v>
      </x:c>
      <x:c r="F63" s="47" t="n">
        <x:f>G21+'Assumptions'!$E$14</x:f>
        <x:v>7896300</x:v>
      </x:c>
      <x:c r="G63" s="47" t="n">
        <x:f>H21+'Assumptions'!$E$14</x:f>
        <x:v>8566500</x:v>
      </x:c>
      <x:c r="H63" s="2"/>
      <x:c r="I63" s="2"/>
      <x:c r="J63" s="2"/>
      <x:c r="K63" s="2"/>
      <x:c r="L63" s="2"/>
      <x:c r="M63" s="2"/>
      <x:c r="N63" s="2"/>
    </x:row>
    <x:row r="64" ht="23" customHeight="1">
      <x:c r="A64" s="2"/>
      <x:c r="B64" s="2"/>
      <x:c r="C64" s="2" t="str">
        <x:v>Gas emissions</x:v>
      </x:c>
      <x:c r="D64" s="2" t="str">
        <x:v>tCO2e/year</x:v>
      </x:c>
      <x:c r="E64" s="47" t="n">
        <x:f>'Assumptions'!$E$15*'Assumptions'!$E$100*'Assumptions'!$E$98</x:f>
        <x:v>1062.2</x:v>
      </x:c>
      <x:c r="F64" s="47" t="n">
        <x:f>'Assumptions'!$E$15*'Assumptions'!$E$100*'Assumptions'!$E$98</x:f>
        <x:v>1062.2</x:v>
      </x:c>
      <x:c r="G64" s="47" t="n">
        <x:f>'Assumptions'!$E$15*'Assumptions'!$E$100*'Assumptions'!$E$98</x:f>
        <x:v>1062.2</x:v>
      </x:c>
      <x:c r="H64" s="2"/>
      <x:c r="I64" s="2"/>
      <x:c r="J64" s="2"/>
      <x:c r="K64" s="2"/>
      <x:c r="L64" s="2"/>
      <x:c r="M64" s="2"/>
      <x:c r="N64" s="2"/>
    </x:row>
    <x:row r="65" ht="23" customHeight="1">
      <x:c r="A65" s="2"/>
      <x:c r="B65" s="2"/>
      <x:c r="C65" s="2" t="str">
        <x:v>2027 total emissions</x:v>
      </x:c>
      <x:c r="D65" s="2" t="str">
        <x:v>tCO2e/year</x:v>
      </x:c>
      <x:c r="E65" s="47" t="n">
        <x:f>E63*'Assumptions'!$E$96+E64</x:f>
        <x:v>3675.427847</x:v>
      </x:c>
      <x:c r="F65" s="47" t="n">
        <x:f>F63*'Assumptions'!$E$96+F64</x:f>
        <x:v>3343.9306405999996</x:v>
      </x:c>
      <x:c r="G65" s="47" t="n">
        <x:f>G63*'Assumptions'!$E$96+G64</x:f>
        <x:v>3537.592973</x:v>
      </x:c>
      <x:c r="H65" s="2"/>
      <x:c r="I65" s="2"/>
      <x:c r="J65" s="2"/>
      <x:c r="K65" s="2"/>
      <x:c r="L65" s="2"/>
      <x:c r="M65" s="2"/>
      <x:c r="N65" s="2"/>
    </x:row>
    <x:row r="66" ht="23" customHeight="1">
      <x:c r="A66" s="2"/>
      <x:c r="B66" s="2"/>
      <x:c r="C66" s="2" t="str">
        <x:v>2027 emissions limit</x:v>
      </x:c>
      <x:c r="D66" s="2" t="str">
        <x:v>tCO2e/year</x:v>
      </x:c>
      <x:c r="E66" s="47" t="n">
        <x:f>'Assumptions'!$E$9*'Assumptions'!$E$94</x:f>
        <x:v>3790</x:v>
      </x:c>
      <x:c r="F66" s="47" t="n">
        <x:f>'Assumptions'!$E$9*'Assumptions'!$E$94</x:f>
        <x:v>3790</x:v>
      </x:c>
      <x:c r="G66" s="47" t="n">
        <x:f>'Assumptions'!$E$9*'Assumptions'!$E$94</x:f>
        <x:v>3790</x:v>
      </x:c>
      <x:c r="H66" s="2"/>
      <x:c r="I66" s="2"/>
      <x:c r="J66" s="2"/>
      <x:c r="K66" s="2"/>
      <x:c r="L66" s="2"/>
      <x:c r="M66" s="2"/>
      <x:c r="N66" s="2"/>
    </x:row>
    <x:row r="67" ht="23" customHeight="1">
      <x:c r="A67" s="2"/>
      <x:c r="B67" s="2"/>
      <x:c r="C67" s="2" t="str">
        <x:v>2027 potential penalty</x:v>
      </x:c>
      <x:c r="D67" s="2" t="str">
        <x:v>USD/year</x:v>
      </x:c>
      <x:c r="E67" s="29" t="n">
        <x:f>MAX(0,E65-E66)*'Assumptions'!$E$99</x:f>
        <x:v>0</x:v>
      </x:c>
      <x:c r="F67" s="29" t="n">
        <x:f>MAX(0,F65-F66)*'Assumptions'!$E$99</x:f>
        <x:v>0</x:v>
      </x:c>
      <x:c r="G67" s="29" t="n">
        <x:f>MAX(0,G65-G66)*'Assumptions'!$E$99</x:f>
        <x:v>0</x:v>
      </x:c>
      <x:c r="H67" s="2"/>
      <x:c r="I67" s="2"/>
      <x:c r="J67" s="2"/>
      <x:c r="K67" s="2"/>
      <x:c r="L67" s="2"/>
      <x:c r="M67" s="2"/>
      <x:c r="N67" s="2"/>
    </x:row>
    <x:row r="68" ht="23" customHeight="1">
      <x:c r="A68" s="2"/>
      <x:c r="B68" s="2"/>
      <x:c r="C68" s="2"/>
      <x:c r="D68" s="2"/>
      <x:c r="E68" s="48"/>
      <x:c r="F68" s="48"/>
      <x:c r="G68" s="48"/>
      <x:c r="H68" s="2"/>
      <x:c r="I68" s="2"/>
      <x:c r="J68" s="2"/>
      <x:c r="K68" s="2"/>
      <x:c r="L68" s="2"/>
      <x:c r="M68" s="2"/>
      <x:c r="N68" s="2"/>
    </x:row>
    <x:row r="69" ht="23" customHeight="1">
      <x:c r="A69" s="2"/>
      <x:c r="B69" s="2"/>
      <x:c r="C69" s="2" t="str">
        <x:v>2030 total emissions</x:v>
      </x:c>
      <x:c r="D69" s="2" t="str">
        <x:v>tCO2e/year</x:v>
      </x:c>
      <x:c r="E69" s="47" t="n">
        <x:f>E63*'Assumptions'!$E$97+E64</x:f>
        <x:v>2373.5075</x:v>
      </x:c>
      <x:c r="F69" s="47" t="n">
        <x:f>F63*'Assumptions'!$E$97+F64</x:f>
        <x:v>2207.1635</x:v>
      </x:c>
      <x:c r="G69" s="47" t="n">
        <x:f>G63*'Assumptions'!$E$97+G64</x:f>
        <x:v>2304.3424999999997</x:v>
      </x:c>
      <x:c r="H69" s="2"/>
      <x:c r="I69" s="2"/>
      <x:c r="J69" s="2"/>
      <x:c r="K69" s="2"/>
      <x:c r="L69" s="2"/>
      <x:c r="M69" s="2"/>
      <x:c r="N69" s="2"/>
    </x:row>
    <x:row r="70" ht="23" customHeight="1">
      <x:c r="A70" s="2"/>
      <x:c r="B70" s="2"/>
      <x:c r="C70" s="2" t="str">
        <x:v>2030 emissions limit</x:v>
      </x:c>
      <x:c r="D70" s="2" t="str">
        <x:v>tCO2e/year</x:v>
      </x:c>
      <x:c r="E70" s="47" t="n">
        <x:f>'Assumptions'!$E$9*'Assumptions'!$E$95</x:f>
        <x:v>1345.426</x:v>
      </x:c>
      <x:c r="F70" s="47" t="n">
        <x:f>'Assumptions'!$E$9*'Assumptions'!$E$95</x:f>
        <x:v>1345.426</x:v>
      </x:c>
      <x:c r="G70" s="47" t="n">
        <x:f>'Assumptions'!$E$9*'Assumptions'!$E$95</x:f>
        <x:v>1345.426</x:v>
      </x:c>
      <x:c r="H70" s="2"/>
      <x:c r="I70" s="2"/>
      <x:c r="J70" s="2"/>
      <x:c r="K70" s="2"/>
      <x:c r="L70" s="2"/>
      <x:c r="M70" s="2"/>
      <x:c r="N70" s="2"/>
    </x:row>
    <x:row r="71" ht="23" customHeight="1">
      <x:c r="A71" s="2"/>
      <x:c r="B71" s="2"/>
      <x:c r="C71" s="2" t="str">
        <x:v>2030 potential penalty</x:v>
      </x:c>
      <x:c r="D71" s="2" t="str">
        <x:v>USD/year</x:v>
      </x:c>
      <x:c r="E71" s="29" t="n">
        <x:f>MAX(0,E69-E70)*'Assumptions'!$E$99</x:f>
        <x:v>275525.84200000006</x:v>
      </x:c>
      <x:c r="F71" s="29" t="n">
        <x:f>MAX(0,F69-F70)*'Assumptions'!$E$99</x:f>
        <x:v>230945.65000000005</x:v>
      </x:c>
      <x:c r="G71" s="29" t="n">
        <x:f>MAX(0,G69-G70)*'Assumptions'!$E$99</x:f>
        <x:v>256989.62199999994</x:v>
      </x:c>
      <x:c r="H71" s="2"/>
      <x:c r="I71" s="2"/>
      <x:c r="J71" s="2"/>
      <x:c r="K71" s="2"/>
      <x:c r="L71" s="2"/>
      <x:c r="M71" s="2"/>
      <x:c r="N71" s="2"/>
    </x:row>
    <x:row r="72" ht="23" customHeight="1">
      <x:c r="A72" s="2"/>
      <x:c r="B72" s="2"/>
      <x:c r="C72" s="2" t="str">
        <x:v>2030 avoided penalty versus A</x:v>
      </x:c>
      <x:c r="D72" s="2" t="str">
        <x:v>USD/year</x:v>
      </x:c>
      <x:c r="E72" s="28" t="n">
        <x:f>$E$71-E71</x:f>
        <x:v>0</x:v>
      </x:c>
      <x:c r="F72" s="28" t="n">
        <x:f>$E$71-F71</x:f>
        <x:v>44580.19200000001</x:v>
      </x:c>
      <x:c r="G72" s="28" t="n">
        <x:f>$E$71-G71</x:f>
        <x:v>18536.220000000118</x:v>
      </x:c>
      <x:c r="H72" s="2"/>
      <x:c r="I72" s="2"/>
      <x:c r="J72" s="2"/>
      <x:c r="K72" s="2"/>
      <x:c r="L72" s="2"/>
      <x:c r="M72" s="2"/>
      <x:c r="N72" s="2"/>
    </x:row>
    <x:row r="73" ht="23" customHeight="1">
      <x:c r="A73" s="2"/>
      <x:c r="B73" s="2"/>
      <x:c r="C73" s="2"/>
      <x:c r="D73" s="2"/>
      <x:c r="E73" s="2"/>
      <x:c r="F73" s="2"/>
      <x:c r="G73" s="2"/>
      <x:c r="H73" s="2"/>
      <x:c r="I73" s="2"/>
      <x:c r="J73" s="2"/>
      <x:c r="K73" s="2"/>
      <x:c r="L73" s="2"/>
      <x:c r="M73" s="2"/>
      <x:c r="N73" s="2"/>
    </x:row>
    <x:row r="74" ht="23" customHeight="1">
      <x:c r="A74" s="2"/>
      <x:c r="B74" s="2"/>
      <x:c r="C74" s="2"/>
      <x:c r="D74" s="2"/>
      <x:c r="E74" s="2"/>
      <x:c r="F74" s="2"/>
      <x:c r="G74" s="2"/>
      <x:c r="H74" s="2"/>
      <x:c r="I74" s="2"/>
      <x:c r="J74" s="2"/>
      <x:c r="K74" s="2"/>
      <x:c r="L74" s="2"/>
      <x:c r="M74" s="2"/>
      <x:c r="N74" s="2"/>
    </x:row>
    <x:row r="75" ht="23" customHeight="1">
      <x:c r="A75" s="2"/>
      <x:c r="B75" s="2"/>
      <x:c r="C75" s="5" t="str">
        <x:v>Screening uses inherited PDF coefficients and assumed constant occupancy and fuel use.</x:v>
      </x:c>
      <x:c r="D75" s="2"/>
      <x:c r="E75" s="2"/>
      <x:c r="F75" s="2"/>
      <x:c r="G75" s="2"/>
      <x:c r="H75" s="2"/>
      <x:c r="I75" s="2"/>
      <x:c r="J75" s="2"/>
      <x:c r="K75" s="2"/>
      <x:c r="L75" s="2"/>
      <x:c r="M75" s="2"/>
      <x:c r="N75" s="2"/>
    </x:row>
    <x:row r="76" ht="23" customHeight="1">
      <x:c r="A76" s="2"/>
      <x:c r="B76" s="2"/>
      <x:c r="C76" s="5" t="str">
        <x:v>Potential penalties are excluded from all investment cash flows. No 2035+ penalty is forecast.</x:v>
      </x:c>
      <x:c r="D76" s="2"/>
      <x:c r="E76" s="2"/>
      <x:c r="F76" s="2"/>
      <x:c r="G76" s="2"/>
      <x:c r="H76" s="2"/>
      <x:c r="I76" s="2"/>
      <x:c r="J76" s="2"/>
      <x:c r="K76" s="2"/>
      <x:c r="L76" s="2"/>
      <x:c r="M76" s="2"/>
      <x:c r="N76" s="2"/>
    </x:row>
    <x:row r="77" ht="23" customHeight="1">
      <x:c r="A77" s="2"/>
      <x:c r="B77" s="2"/>
      <x:c r="C77" s="5" t="str">
        <x:v>Natural gas remains unchanged; cooling improvements alone do not eliminate modeled excess emissions.</x:v>
      </x:c>
      <x:c r="D77" s="2"/>
      <x:c r="E77" s="2"/>
      <x:c r="F77" s="2"/>
      <x:c r="G77" s="2"/>
      <x:c r="H77" s="2"/>
      <x:c r="I77" s="2"/>
      <x:c r="J77" s="2"/>
      <x:c r="K77" s="2"/>
      <x:c r="L77" s="2"/>
      <x:c r="M77" s="2"/>
      <x:c r="N77" s="2"/>
    </x:row>
    <x:row r="78" ht="23" customHeight="1">
      <x:c r="A78" s="2"/>
      <x:c r="B78" s="2"/>
      <x:c r="C78" s="2"/>
      <x:c r="D78" s="2"/>
      <x:c r="E78" s="2"/>
      <x:c r="F78" s="2"/>
      <x:c r="G78" s="2"/>
      <x:c r="H78" s="2"/>
      <x:c r="I78" s="2"/>
      <x:c r="J78" s="2"/>
      <x:c r="K78" s="2"/>
      <x:c r="L78" s="2"/>
      <x:c r="M78" s="2"/>
      <x:c r="N78" s="2"/>
    </x:row>
    <x:row r="79" ht="23" customHeight="1">
      <x:c r="A79" s="2"/>
      <x:c r="B79" s="2"/>
      <x:c r="C79" s="2"/>
      <x:c r="D79" s="2"/>
      <x:c r="E79" s="2"/>
      <x:c r="F79" s="2"/>
      <x:c r="G79" s="2"/>
      <x:c r="H79" s="2"/>
      <x:c r="I79" s="2"/>
      <x:c r="J79" s="2"/>
      <x:c r="K79" s="2"/>
      <x:c r="L79" s="2"/>
      <x:c r="M79" s="2"/>
      <x:c r="N79" s="2"/>
    </x:row>
    <x:row r="80" ht="23" customHeight="1">
      <x:c r="A80" s="2"/>
      <x:c r="B80" s="2"/>
      <x:c r="C80" s="2"/>
      <x:c r="D80" s="2"/>
      <x:c r="E80" s="2"/>
      <x:c r="F80" s="2"/>
      <x:c r="G80" s="2"/>
      <x:c r="H80" s="2"/>
      <x:c r="I80" s="2"/>
      <x:c r="J80" s="2"/>
      <x:c r="K80" s="2"/>
      <x:c r="L80" s="2"/>
      <x:c r="M80" s="2"/>
      <x:c r="N80" s="2"/>
    </x:row>
    <x:row r="81" ht="23" customHeight="1">
      <x:c r="A81" s="2"/>
      <x:c r="B81" s="2"/>
      <x:c r="C81" s="2"/>
      <x:c r="D81" s="2"/>
      <x:c r="E81" s="2"/>
      <x:c r="F81" s="2"/>
      <x:c r="G81" s="2"/>
      <x:c r="H81" s="2"/>
      <x:c r="I81" s="2"/>
      <x:c r="J81" s="2"/>
      <x:c r="K81" s="2"/>
      <x:c r="L81" s="2"/>
      <x:c r="M81" s="2"/>
      <x:c r="N81" s="2"/>
    </x:row>
    <x:row r="82" ht="23" customHeight="1">
      <x:c r="A82" s="2"/>
      <x:c r="B82" s="2"/>
      <x:c r="C82" s="2"/>
      <x:c r="D82" s="2"/>
      <x:c r="E82" s="2"/>
      <x:c r="F82" s="2"/>
      <x:c r="G82" s="2"/>
      <x:c r="H82" s="2"/>
      <x:c r="I82" s="2"/>
      <x:c r="J82" s="2"/>
      <x:c r="K82" s="2"/>
      <x:c r="L82" s="2"/>
      <x:c r="M82" s="2"/>
      <x:c r="N82" s="2"/>
    </x:row>
    <x:row r="83" ht="23" customHeight="1">
      <x:c r="A83" s="2"/>
      <x:c r="B83" s="2"/>
      <x:c r="C83" s="2"/>
      <x:c r="D83" s="2"/>
      <x:c r="E83" s="2"/>
      <x:c r="F83" s="2"/>
      <x:c r="G83" s="2"/>
      <x:c r="H83" s="2"/>
      <x:c r="I83" s="2"/>
      <x:c r="J83" s="2"/>
      <x:c r="K83" s="2"/>
      <x:c r="L83" s="2"/>
      <x:c r="M83" s="2"/>
      <x:c r="N83" s="2"/>
    </x:row>
    <x:row r="84" ht="23" customHeight="1">
      <x:c r="A84" s="2"/>
      <x:c r="B84" s="2"/>
      <x:c r="C84" s="2"/>
      <x:c r="D84" s="2"/>
      <x:c r="E84" s="2"/>
      <x:c r="F84" s="2"/>
      <x:c r="G84" s="2"/>
      <x:c r="H84" s="2"/>
      <x:c r="I84" s="2"/>
      <x:c r="J84" s="2"/>
      <x:c r="K84" s="2"/>
      <x:c r="L84" s="2"/>
      <x:c r="M84" s="2"/>
      <x:c r="N84" s="2"/>
    </x:row>
    <x:row r="85" ht="23" customHeight="1">
      <x:c r="A85" s="2"/>
      <x:c r="B85" s="2"/>
      <x:c r="C85" s="2"/>
      <x:c r="D85" s="2"/>
      <x:c r="E85" s="2"/>
      <x:c r="F85" s="2"/>
      <x:c r="G85" s="2"/>
      <x:c r="H85" s="2"/>
      <x:c r="I85" s="2"/>
      <x:c r="J85" s="2"/>
      <x:c r="K85" s="2"/>
      <x:c r="L85" s="2"/>
      <x:c r="M85" s="2"/>
      <x:c r="N85" s="2"/>
    </x:row>
    <x:row r="86" ht="23" customHeight="1">
      <x:c r="A86" s="2"/>
      <x:c r="B86" s="2"/>
      <x:c r="C86" s="2"/>
      <x:c r="D86" s="2"/>
      <x:c r="E86" s="2"/>
      <x:c r="F86" s="2"/>
      <x:c r="G86" s="2"/>
      <x:c r="H86" s="2"/>
      <x:c r="I86" s="2"/>
      <x:c r="J86" s="2"/>
      <x:c r="K86" s="2"/>
      <x:c r="L86" s="2"/>
      <x:c r="M86" s="2"/>
      <x:c r="N86" s="2"/>
    </x:row>
    <x:row r="87" ht="23" customHeight="1">
      <x:c r="A87" s="2"/>
      <x:c r="B87" s="2"/>
      <x:c r="C87" s="2"/>
      <x:c r="D87" s="2"/>
      <x:c r="E87" s="2"/>
      <x:c r="F87" s="2"/>
      <x:c r="G87" s="2"/>
      <x:c r="H87" s="2"/>
      <x:c r="I87" s="2"/>
      <x:c r="J87" s="2"/>
      <x:c r="K87" s="2"/>
      <x:c r="L87" s="2"/>
      <x:c r="M87" s="2"/>
      <x:c r="N87" s="2"/>
    </x:row>
    <x:row r="88" ht="23" customHeight="1">
      <x:c r="A88" s="2"/>
      <x:c r="B88" s="2"/>
      <x:c r="C88" s="2"/>
      <x:c r="D88" s="2"/>
      <x:c r="E88" s="2"/>
      <x:c r="F88" s="2"/>
      <x:c r="G88" s="2"/>
      <x:c r="H88" s="2"/>
      <x:c r="I88" s="2"/>
      <x:c r="J88" s="2"/>
      <x:c r="K88" s="2"/>
      <x:c r="L88" s="2"/>
      <x:c r="M88" s="2"/>
      <x:c r="N88" s="2"/>
    </x:row>
  </x:sheetData>
  <x:printOptions horizontalCentered="1" headings="0" gridLines="0"/>
  <x:pageMargins left="0.3" right="0.3" top="0.35" bottom="0.35" header="0.15" footer="0.15"/>
  <x:pageSetup paperSize="3" orientation="landscape" fitToWidth="1" fitToHeight="0"/>
  <x:headerFooter>
    <x:oddFooter>&amp;L&amp;"Times New Roman,Regular"&amp;9Energy&amp;RPage &amp;P of &amp;N</x:oddFooter>
  </x:headerFooter>
</x:worksheet>
</file>

<file path=xl/worksheets/sheet5.xml><?xml version="1.0" encoding="utf-8"?>
<x:worksheet xmlns:x="http://schemas.openxmlformats.org/spreadsheetml/2006/main">
  <x:sheetPr>
    <x:pageSetUpPr fitToPage="1"/>
  </x:sheetPr>
  <x:sheetViews>
    <x:sheetView showGridLines="0" workbookViewId="0">
      <x:pane xSplit="3" ySplit="7" topLeftCell="D8" activePane="bottomRight" state="frozen"/>
    </x:sheetView>
  </x:sheetViews>
  <x:sheetFormatPr defaultRowHeight="15"/>
  <x:cols>
    <x:col min="1" max="1" width="3" hidden="0" customWidth="1"/>
    <x:col min="2" max="2" width="3" hidden="0" customWidth="1"/>
    <x:col min="3" max="3" width="45" hidden="0" customWidth="1"/>
    <x:col min="4" max="4" width="16" hidden="0" customWidth="1"/>
    <x:col min="5" max="5" width="16" hidden="0" customWidth="1"/>
    <x:col min="6" max="6" width="16" hidden="0" customWidth="1"/>
    <x:col min="7" max="7" width="16" hidden="0" customWidth="1"/>
    <x:col min="8" max="8" width="16" hidden="0" customWidth="1"/>
    <x:col min="9" max="9" width="16" hidden="0" customWidth="1"/>
    <x:col min="10" max="10" width="16" hidden="0" customWidth="1"/>
    <x:col min="11" max="11" width="16" hidden="0" customWidth="1"/>
    <x:col min="12" max="12" width="16" hidden="0" customWidth="1"/>
    <x:col min="13" max="13" width="16" hidden="0" customWidth="1"/>
    <x:col min="14" max="14" width="16" hidden="0" customWidth="1"/>
  </x:cols>
  <x:sheetData>
    <x:row r="1" ht="23" customHeight="1">
      <x:c r="A1" s="2"/>
      <x:c r="B1" s="2"/>
      <x:c r="C1" s="2"/>
      <x:c r="D1" s="2"/>
      <x:c r="E1" s="2"/>
      <x:c r="F1" s="2"/>
      <x:c r="G1" s="2"/>
      <x:c r="H1" s="2"/>
      <x:c r="I1" s="2"/>
      <x:c r="J1" s="2"/>
      <x:c r="K1" s="2"/>
      <x:c r="L1" s="2"/>
      <x:c r="M1" s="2"/>
      <x:c r="N1" s="2"/>
    </x:row>
    <x:row r="2" ht="23" customHeight="1">
      <x:c r="A2" s="2"/>
      <x:c r="B2" s="2"/>
      <x:c r="C2" s="3" t="str">
        <x:v>Depreciation and sustaining capital</x:v>
      </x:c>
      <x:c r="D2" s="2"/>
      <x:c r="E2" s="2"/>
      <x:c r="F2" s="2"/>
      <x:c r="G2" s="2"/>
      <x:c r="H2" s="2"/>
      <x:c r="I2" s="2"/>
      <x:c r="J2" s="2"/>
      <x:c r="K2" s="2"/>
      <x:c r="L2" s="2"/>
      <x:c r="M2" s="2"/>
      <x:c r="N2" s="2"/>
    </x:row>
    <x:row r="3" ht="23" customHeight="1">
      <x:c r="A3" s="2"/>
      <x:c r="B3" s="2"/>
      <x:c r="C3" s="5" t="str">
        <x:v>Tax basis and depreciation are separate from cash capital spending.</x:v>
      </x:c>
      <x:c r="D3" s="2"/>
      <x:c r="E3" s="2"/>
      <x:c r="F3" s="2"/>
      <x:c r="G3" s="2"/>
      <x:c r="H3" s="2"/>
      <x:c r="I3" s="2"/>
      <x:c r="J3" s="2"/>
      <x:c r="K3" s="2"/>
      <x:c r="L3" s="2"/>
      <x:c r="M3" s="2"/>
      <x:c r="N3" s="2"/>
    </x:row>
    <x:row r="4" ht="23" customHeight="1">
      <x:c r="A4" s="2"/>
      <x:c r="B4" s="2"/>
      <x:c r="C4" s="2"/>
      <x:c r="D4" s="2"/>
      <x:c r="E4" s="2"/>
      <x:c r="F4" s="2"/>
      <x:c r="G4" s="2"/>
      <x:c r="H4" s="2"/>
      <x:c r="I4" s="2"/>
      <x:c r="J4" s="2"/>
      <x:c r="K4" s="2"/>
      <x:c r="L4" s="2"/>
      <x:c r="M4" s="2"/>
      <x:c r="N4" s="2"/>
    </x:row>
    <x:row r="5" ht="23" customHeight="1">
      <x:c r="A5" s="2"/>
      <x:c r="B5" s="2"/>
      <x:c r="C5" s="2" t="str">
        <x:v>Selected scenario</x:v>
      </x:c>
      <x:c r="D5" s="56" t="str">
        <x:f>'Assumptions'!E6</x:f>
        <x:v>Base</x:v>
      </x:c>
      <x:c r="E5" s="2"/>
      <x:c r="F5" s="2"/>
      <x:c r="G5" s="2"/>
      <x:c r="H5" s="2"/>
      <x:c r="I5" s="2"/>
      <x:c r="J5" s="2"/>
      <x:c r="K5" s="2"/>
      <x:c r="L5" s="2"/>
      <x:c r="M5" s="2"/>
      <x:c r="N5" s="2"/>
    </x:row>
    <x:row r="6" ht="23" customHeight="1">
      <x:c r="A6" s="2"/>
      <x:c r="B6" s="2"/>
      <x:c r="C6" s="2"/>
      <x:c r="D6" s="2"/>
      <x:c r="E6" s="2"/>
      <x:c r="F6" s="2"/>
      <x:c r="G6" s="2"/>
      <x:c r="H6" s="2"/>
      <x:c r="I6" s="2"/>
      <x:c r="J6" s="2"/>
      <x:c r="K6" s="2"/>
      <x:c r="L6" s="2"/>
      <x:c r="M6" s="2"/>
      <x:c r="N6" s="2"/>
    </x:row>
    <x:row r="7" ht="23" customHeight="1">
      <x:c r="A7" s="2"/>
      <x:c r="B7" s="2"/>
      <x:c r="C7" s="18" t="str">
        <x:v>Project year</x:v>
      </x:c>
      <x:c r="D7" s="18" t="n">
        <x:v>0</x:v>
      </x:c>
      <x:c r="E7" s="18" t="n">
        <x:v>1</x:v>
      </x:c>
      <x:c r="F7" s="18" t="n">
        <x:v>2</x:v>
      </x:c>
      <x:c r="G7" s="18" t="n">
        <x:v>3</x:v>
      </x:c>
      <x:c r="H7" s="18" t="n">
        <x:v>4</x:v>
      </x:c>
      <x:c r="I7" s="18" t="n">
        <x:v>5</x:v>
      </x:c>
      <x:c r="J7" s="18" t="n">
        <x:v>6</x:v>
      </x:c>
      <x:c r="K7" s="18" t="n">
        <x:v>7</x:v>
      </x:c>
      <x:c r="L7" s="18" t="n">
        <x:v>8</x:v>
      </x:c>
      <x:c r="M7" s="18" t="n">
        <x:v>9</x:v>
      </x:c>
      <x:c r="N7" s="18" t="n">
        <x:v>10</x:v>
      </x:c>
    </x:row>
    <x:row r="8" ht="23" customHeight="1">
      <x:c r="A8" s="2"/>
      <x:c r="B8" s="2"/>
      <x:c r="C8" s="2" t="str">
        <x:v>Cash-flow date</x:v>
      </x:c>
      <x:c r="D8" s="41" t="n">
        <x:f>'Assumptions'!$E$21</x:f>
        <x:v>46387</x:v>
      </x:c>
      <x:c r="E8" s="42" t="n">
        <x:f>DATE(YEAR($D$8)+E$7,12,31)</x:f>
        <x:v>46752</x:v>
      </x:c>
      <x:c r="F8" s="42" t="n">
        <x:f>DATE(YEAR($D$8)+F$7,12,31)</x:f>
        <x:v>47118</x:v>
      </x:c>
      <x:c r="G8" s="42" t="n">
        <x:f>DATE(YEAR($D$8)+G$7,12,31)</x:f>
        <x:v>47483</x:v>
      </x:c>
      <x:c r="H8" s="42" t="n">
        <x:f>DATE(YEAR($D$8)+H$7,12,31)</x:f>
        <x:v>47848</x:v>
      </x:c>
      <x:c r="I8" s="42" t="n">
        <x:f>DATE(YEAR($D$8)+I$7,12,31)</x:f>
        <x:v>48213</x:v>
      </x:c>
      <x:c r="J8" s="42" t="n">
        <x:f>DATE(YEAR($D$8)+J$7,12,31)</x:f>
        <x:v>48579</x:v>
      </x:c>
      <x:c r="K8" s="42" t="n">
        <x:f>DATE(YEAR($D$8)+K$7,12,31)</x:f>
        <x:v>48944</x:v>
      </x:c>
      <x:c r="L8" s="42" t="n">
        <x:f>DATE(YEAR($D$8)+L$7,12,31)</x:f>
        <x:v>49309</x:v>
      </x:c>
      <x:c r="M8" s="42" t="n">
        <x:f>DATE(YEAR($D$8)+M$7,12,31)</x:f>
        <x:v>49674</x:v>
      </x:c>
      <x:c r="N8" s="42" t="n">
        <x:f>DATE(YEAR($D$8)+N$7,12,31)</x:f>
        <x:v>50040</x:v>
      </x:c>
    </x:row>
    <x:row r="9" ht="23" customHeight="1">
      <x:c r="A9" s="2"/>
      <x:c r="B9" s="2"/>
      <x:c r="C9" s="2"/>
      <x:c r="D9" s="2"/>
      <x:c r="E9" s="2"/>
      <x:c r="F9" s="2"/>
      <x:c r="G9" s="2"/>
      <x:c r="H9" s="2"/>
      <x:c r="I9" s="2"/>
      <x:c r="J9" s="2"/>
      <x:c r="K9" s="2"/>
      <x:c r="L9" s="2"/>
      <x:c r="M9" s="2"/>
      <x:c r="N9" s="2"/>
    </x:row>
    <x:row r="10" ht="23" customHeight="1">
      <x:c r="A10" s="2"/>
      <x:c r="B10" s="2"/>
      <x:c r="C10" s="18" t="str">
        <x:v>A Existing</x:v>
      </x:c>
      <x:c r="D10" s="18"/>
      <x:c r="E10" s="18"/>
      <x:c r="F10" s="18"/>
      <x:c r="G10" s="18"/>
      <x:c r="H10" s="18"/>
      <x:c r="I10" s="18"/>
      <x:c r="J10" s="18"/>
      <x:c r="K10" s="18"/>
      <x:c r="L10" s="18"/>
      <x:c r="M10" s="18"/>
      <x:c r="N10" s="18"/>
    </x:row>
    <x:row r="11" ht="23" customHeight="1">
      <x:c r="A11" s="2"/>
      <x:c r="B11" s="2"/>
      <x:c r="C11" s="2" t="str">
        <x:v>Initial real-property depreciation</x:v>
      </x:c>
      <x:c r="D11" s="28" t="n">
        <x:f>0</x:f>
        <x:v>0</x:v>
      </x:c>
      <x:c r="E11" s="28" t="n">
        <x:f>0</x:f>
        <x:v>0</x:v>
      </x:c>
      <x:c r="F11" s="28" t="n">
        <x:f>0</x:f>
        <x:v>0</x:v>
      </x:c>
      <x:c r="G11" s="28" t="n">
        <x:f>0</x:f>
        <x:v>0</x:v>
      </x:c>
      <x:c r="H11" s="28" t="n">
        <x:f>0</x:f>
        <x:v>0</x:v>
      </x:c>
      <x:c r="I11" s="28" t="n">
        <x:f>0</x:f>
        <x:v>0</x:v>
      </x:c>
      <x:c r="J11" s="28" t="n">
        <x:f>0</x:f>
        <x:v>0</x:v>
      </x:c>
      <x:c r="K11" s="28" t="n">
        <x:f>0</x:f>
        <x:v>0</x:v>
      </x:c>
      <x:c r="L11" s="28" t="n">
        <x:f>0</x:f>
        <x:v>0</x:v>
      </x:c>
      <x:c r="M11" s="28" t="n">
        <x:f>0</x:f>
        <x:v>0</x:v>
      </x:c>
      <x:c r="N11" s="28" t="n">
        <x:f>0</x:f>
        <x:v>0</x:v>
      </x:c>
    </x:row>
    <x:row r="12" ht="23" customHeight="1">
      <x:c r="A12" s="2"/>
      <x:c r="B12" s="2"/>
      <x:c r="C12" s="2" t="str">
        <x:v>Initial computer MACRS</x:v>
      </x:c>
      <x:c r="D12" s="28" t="n">
        <x:f>0</x:f>
        <x:v>0</x:v>
      </x:c>
      <x:c r="E12" s="28" t="n">
        <x:f>0</x:f>
        <x:v>0</x:v>
      </x:c>
      <x:c r="F12" s="28" t="n">
        <x:f>0</x:f>
        <x:v>0</x:v>
      </x:c>
      <x:c r="G12" s="28" t="n">
        <x:f>0</x:f>
        <x:v>0</x:v>
      </x:c>
      <x:c r="H12" s="28" t="n">
        <x:f>0</x:f>
        <x:v>0</x:v>
      </x:c>
      <x:c r="I12" s="28" t="n">
        <x:f>0</x:f>
        <x:v>0</x:v>
      </x:c>
      <x:c r="J12" s="28" t="n">
        <x:f>0</x:f>
        <x:v>0</x:v>
      </x:c>
      <x:c r="K12" s="28" t="n">
        <x:f>0</x:f>
        <x:v>0</x:v>
      </x:c>
      <x:c r="L12" s="28" t="n">
        <x:f>0</x:f>
        <x:v>0</x:v>
      </x:c>
      <x:c r="M12" s="28" t="n">
        <x:f>0</x:f>
        <x:v>0</x:v>
      </x:c>
      <x:c r="N12" s="28" t="n">
        <x:f>0</x:f>
        <x:v>0</x:v>
      </x:c>
    </x:row>
    <x:row r="13" ht="23" customHeight="1">
      <x:c r="A13" s="2"/>
      <x:c r="B13" s="2"/>
      <x:c r="C13" s="2" t="str">
        <x:v>Training deduction</x:v>
      </x:c>
      <x:c r="D13" s="28" t="n">
        <x:f>0</x:f>
        <x:v>0</x:v>
      </x:c>
      <x:c r="E13" s="28" t="n">
        <x:f>0</x:f>
        <x:v>0</x:v>
      </x:c>
      <x:c r="F13" s="28" t="n">
        <x:f>0</x:f>
        <x:v>0</x:v>
      </x:c>
      <x:c r="G13" s="28" t="n">
        <x:f>0</x:f>
        <x:v>0</x:v>
      </x:c>
      <x:c r="H13" s="28" t="n">
        <x:f>0</x:f>
        <x:v>0</x:v>
      </x:c>
      <x:c r="I13" s="28" t="n">
        <x:f>0</x:f>
        <x:v>0</x:v>
      </x:c>
      <x:c r="J13" s="28" t="n">
        <x:f>0</x:f>
        <x:v>0</x:v>
      </x:c>
      <x:c r="K13" s="28" t="n">
        <x:f>0</x:f>
        <x:v>0</x:v>
      </x:c>
      <x:c r="L13" s="28" t="n">
        <x:f>0</x:f>
        <x:v>0</x:v>
      </x:c>
      <x:c r="M13" s="28" t="n">
        <x:f>0</x:f>
        <x:v>0</x:v>
      </x:c>
      <x:c r="N13" s="28" t="n">
        <x:f>0</x:f>
        <x:v>0</x:v>
      </x:c>
    </x:row>
    <x:row r="14" ht="23" customHeight="1">
      <x:c r="A14" s="2"/>
      <x:c r="B14" s="2"/>
      <x:c r="C14" s="2" t="str">
        <x:v>First sustaining capital addition</x:v>
      </x:c>
      <x:c r="D14" s="28" t="n">
        <x:f>0</x:f>
        <x:v>0</x:v>
      </x:c>
      <x:c r="E14" s="29" t="n">
        <x:f>IF(AND('Assumptions'!$E$54&gt;0,E$7='Assumptions'!$E$54),'Assumptions'!$E$53*(1+'Assumptions'!$E$20)^(E$7-1),0)</x:f>
        <x:v>0</x:v>
      </x:c>
      <x:c r="F14" s="29" t="n">
        <x:f>IF(AND('Assumptions'!$E$54&gt;0,F$7='Assumptions'!$E$54),'Assumptions'!$E$53*(1+'Assumptions'!$E$20)^(F$7-1),0)</x:f>
        <x:v>0</x:v>
      </x:c>
      <x:c r="G14" s="29" t="n">
        <x:f>IF(AND('Assumptions'!$E$54&gt;0,G$7='Assumptions'!$E$54),'Assumptions'!$E$53*(1+'Assumptions'!$E$20)^(G$7-1),0)</x:f>
        <x:v>840499.9999999999</x:v>
      </x:c>
      <x:c r="H14" s="29" t="n">
        <x:f>IF(AND('Assumptions'!$E$54&gt;0,H$7='Assumptions'!$E$54),'Assumptions'!$E$53*(1+'Assumptions'!$E$20)^(H$7-1),0)</x:f>
        <x:v>0</x:v>
      </x:c>
      <x:c r="I14" s="29" t="n">
        <x:f>IF(AND('Assumptions'!$E$54&gt;0,I$7='Assumptions'!$E$54),'Assumptions'!$E$53*(1+'Assumptions'!$E$20)^(I$7-1),0)</x:f>
        <x:v>0</x:v>
      </x:c>
      <x:c r="J14" s="29" t="n">
        <x:f>IF(AND('Assumptions'!$E$54&gt;0,J$7='Assumptions'!$E$54),'Assumptions'!$E$53*(1+'Assumptions'!$E$20)^(J$7-1),0)</x:f>
        <x:v>0</x:v>
      </x:c>
      <x:c r="K14" s="29" t="n">
        <x:f>IF(AND('Assumptions'!$E$54&gt;0,K$7='Assumptions'!$E$54),'Assumptions'!$E$53*(1+'Assumptions'!$E$20)^(K$7-1),0)</x:f>
        <x:v>0</x:v>
      </x:c>
      <x:c r="L14" s="29" t="n">
        <x:f>IF(AND('Assumptions'!$E$54&gt;0,L$7='Assumptions'!$E$54),'Assumptions'!$E$53*(1+'Assumptions'!$E$20)^(L$7-1),0)</x:f>
        <x:v>0</x:v>
      </x:c>
      <x:c r="M14" s="29" t="n">
        <x:f>IF(AND('Assumptions'!$E$54&gt;0,M$7='Assumptions'!$E$54),'Assumptions'!$E$53*(1+'Assumptions'!$E$20)^(M$7-1),0)</x:f>
        <x:v>0</x:v>
      </x:c>
      <x:c r="N14" s="29" t="n">
        <x:f>IF(AND('Assumptions'!$E$54&gt;0,N$7='Assumptions'!$E$54),'Assumptions'!$E$53*(1+'Assumptions'!$E$20)^(N$7-1),0)</x:f>
        <x:v>0</x:v>
      </x:c>
    </x:row>
    <x:row r="15" ht="23" customHeight="1">
      <x:c r="A15" s="2"/>
      <x:c r="B15" s="2"/>
      <x:c r="C15" s="2" t="str">
        <x:v>Second sustaining capital addition</x:v>
      </x:c>
      <x:c r="D15" s="28" t="n">
        <x:f>0</x:f>
        <x:v>0</x:v>
      </x:c>
      <x:c r="E15" s="29" t="n">
        <x:f>IF(AND('Assumptions'!$E$56&gt;0,E$7='Assumptions'!$E$56),'Assumptions'!$E$55*(1+'Assumptions'!$E$20)^(E$7-1),0)</x:f>
        <x:v>0</x:v>
      </x:c>
      <x:c r="F15" s="29" t="n">
        <x:f>IF(AND('Assumptions'!$E$56&gt;0,F$7='Assumptions'!$E$56),'Assumptions'!$E$55*(1+'Assumptions'!$E$20)^(F$7-1),0)</x:f>
        <x:v>0</x:v>
      </x:c>
      <x:c r="G15" s="29" t="n">
        <x:f>IF(AND('Assumptions'!$E$56&gt;0,G$7='Assumptions'!$E$56),'Assumptions'!$E$55*(1+'Assumptions'!$E$20)^(G$7-1),0)</x:f>
        <x:v>0</x:v>
      </x:c>
      <x:c r="H15" s="29" t="n">
        <x:f>IF(AND('Assumptions'!$E$56&gt;0,H$7='Assumptions'!$E$56),'Assumptions'!$E$55*(1+'Assumptions'!$E$20)^(H$7-1),0)</x:f>
        <x:v>0</x:v>
      </x:c>
      <x:c r="I15" s="29" t="n">
        <x:f>IF(AND('Assumptions'!$E$56&gt;0,I$7='Assumptions'!$E$56),'Assumptions'!$E$55*(1+'Assumptions'!$E$20)^(I$7-1),0)</x:f>
        <x:v>0</x:v>
      </x:c>
      <x:c r="J15" s="29" t="n">
        <x:f>IF(AND('Assumptions'!$E$56&gt;0,J$7='Assumptions'!$E$56),'Assumptions'!$E$55*(1+'Assumptions'!$E$20)^(J$7-1),0)</x:f>
        <x:v>0</x:v>
      </x:c>
      <x:c r="K15" s="29" t="n">
        <x:f>IF(AND('Assumptions'!$E$56&gt;0,K$7='Assumptions'!$E$56),'Assumptions'!$E$55*(1+'Assumptions'!$E$20)^(K$7-1),0)</x:f>
        <x:v>695816.050927734</x:v>
      </x:c>
      <x:c r="L15" s="29" t="n">
        <x:f>IF(AND('Assumptions'!$E$56&gt;0,L$7='Assumptions'!$E$56),'Assumptions'!$E$55*(1+'Assumptions'!$E$20)^(L$7-1),0)</x:f>
        <x:v>0</x:v>
      </x:c>
      <x:c r="M15" s="29" t="n">
        <x:f>IF(AND('Assumptions'!$E$56&gt;0,M$7='Assumptions'!$E$56),'Assumptions'!$E$55*(1+'Assumptions'!$E$20)^(M$7-1),0)</x:f>
        <x:v>0</x:v>
      </x:c>
      <x:c r="N15" s="29" t="n">
        <x:f>IF(AND('Assumptions'!$E$56&gt;0,N$7='Assumptions'!$E$56),'Assumptions'!$E$55*(1+'Assumptions'!$E$20)^(N$7-1),0)</x:f>
        <x:v>0</x:v>
      </x:c>
    </x:row>
    <x:row r="16" ht="23" customHeight="1">
      <x:c r="A16" s="2"/>
      <x:c r="B16" s="2"/>
      <x:c r="C16" s="2" t="str">
        <x:v>Total sustaining additions</x:v>
      </x:c>
      <x:c r="D16" s="28" t="n">
        <x:f>SUM(D14:D15)</x:f>
        <x:v>0</x:v>
      </x:c>
      <x:c r="E16" s="28" t="n">
        <x:f>SUM(E14:E15)</x:f>
        <x:v>0</x:v>
      </x:c>
      <x:c r="F16" s="28" t="n">
        <x:f>SUM(F14:F15)</x:f>
        <x:v>0</x:v>
      </x:c>
      <x:c r="G16" s="28" t="n">
        <x:f>SUM(G14:G15)</x:f>
        <x:v>840499.9999999999</x:v>
      </x:c>
      <x:c r="H16" s="28" t="n">
        <x:f>SUM(H14:H15)</x:f>
        <x:v>0</x:v>
      </x:c>
      <x:c r="I16" s="28" t="n">
        <x:f>SUM(I14:I15)</x:f>
        <x:v>0</x:v>
      </x:c>
      <x:c r="J16" s="28" t="n">
        <x:f>SUM(J14:J15)</x:f>
        <x:v>0</x:v>
      </x:c>
      <x:c r="K16" s="28" t="n">
        <x:f>SUM(K14:K15)</x:f>
        <x:v>695816.050927734</x:v>
      </x:c>
      <x:c r="L16" s="28" t="n">
        <x:f>SUM(L14:L15)</x:f>
        <x:v>0</x:v>
      </x:c>
      <x:c r="M16" s="28" t="n">
        <x:f>SUM(M14:M15)</x:f>
        <x:v>0</x:v>
      </x:c>
      <x:c r="N16" s="28" t="n">
        <x:f>SUM(N14:N15)</x:f>
        <x:v>0</x:v>
      </x:c>
    </x:row>
    <x:row r="17" ht="23" customHeight="1">
      <x:c r="A17" s="2"/>
      <x:c r="B17" s="2"/>
      <x:c r="C17" s="2" t="str">
        <x:v>First-event depreciation</x:v>
      </x:c>
      <x:c r="D17" s="28" t="n">
        <x:f>0</x:f>
        <x:v>0</x:v>
      </x:c>
      <x:c r="E17" s="29" t="n">
        <x:f>IF(OR('Assumptions'!$E$54=0,E$7&lt;'Assumptions'!$E$54),0,SUM($E$14:$N$14)/'Assumptions'!$E$24*IF(E$7='Assumptions'!$E$54,(12-'Assumptions'!$E$28+0.5)/12,MAX(0,MIN(1,'Assumptions'!$E$24-(12-'Assumptions'!$E$28+0.5)/12-(E$7-'Assumptions'!$E$54-1)))))</x:f>
        <x:v>0</x:v>
      </x:c>
      <x:c r="F17" s="29" t="n">
        <x:f>IF(OR('Assumptions'!$E$54=0,F$7&lt;'Assumptions'!$E$54),0,SUM($E$14:$N$14)/'Assumptions'!$E$24*IF(F$7='Assumptions'!$E$54,(12-'Assumptions'!$E$28+0.5)/12,MAX(0,MIN(1,'Assumptions'!$E$24-(12-'Assumptions'!$E$28+0.5)/12-(F$7-'Assumptions'!$E$54-1)))))</x:f>
        <x:v>0</x:v>
      </x:c>
      <x:c r="G17" s="29" t="n">
        <x:f>IF(OR('Assumptions'!$E$54=0,G$7&lt;'Assumptions'!$E$54),0,SUM($E$14:$N$14)/'Assumptions'!$E$24*IF(G$7='Assumptions'!$E$54,(12-'Assumptions'!$E$28+0.5)/12,MAX(0,MIN(1,'Assumptions'!$E$24-(12-'Assumptions'!$E$28+0.5)/12-(G$7-'Assumptions'!$E$54-1)))))</x:f>
        <x:v>897.9700854700852</x:v>
      </x:c>
      <x:c r="H17" s="29" t="n">
        <x:f>IF(OR('Assumptions'!$E$54=0,H$7&lt;'Assumptions'!$E$54),0,SUM($E$14:$N$14)/'Assumptions'!$E$24*IF(H$7='Assumptions'!$E$54,(12-'Assumptions'!$E$28+0.5)/12,MAX(0,MIN(1,'Assumptions'!$E$24-(12-'Assumptions'!$E$28+0.5)/12-(H$7-'Assumptions'!$E$54-1)))))</x:f>
        <x:v>21551.282051282047</x:v>
      </x:c>
      <x:c r="I17" s="29" t="n">
        <x:f>IF(OR('Assumptions'!$E$54=0,I$7&lt;'Assumptions'!$E$54),0,SUM($E$14:$N$14)/'Assumptions'!$E$24*IF(I$7='Assumptions'!$E$54,(12-'Assumptions'!$E$28+0.5)/12,MAX(0,MIN(1,'Assumptions'!$E$24-(12-'Assumptions'!$E$28+0.5)/12-(I$7-'Assumptions'!$E$54-1)))))</x:f>
        <x:v>21551.282051282047</x:v>
      </x:c>
      <x:c r="J17" s="29" t="n">
        <x:f>IF(OR('Assumptions'!$E$54=0,J$7&lt;'Assumptions'!$E$54),0,SUM($E$14:$N$14)/'Assumptions'!$E$24*IF(J$7='Assumptions'!$E$54,(12-'Assumptions'!$E$28+0.5)/12,MAX(0,MIN(1,'Assumptions'!$E$24-(12-'Assumptions'!$E$28+0.5)/12-(J$7-'Assumptions'!$E$54-1)))))</x:f>
        <x:v>21551.282051282047</x:v>
      </x:c>
      <x:c r="K17" s="29" t="n">
        <x:f>IF(OR('Assumptions'!$E$54=0,K$7&lt;'Assumptions'!$E$54),0,SUM($E$14:$N$14)/'Assumptions'!$E$24*IF(K$7='Assumptions'!$E$54,(12-'Assumptions'!$E$28+0.5)/12,MAX(0,MIN(1,'Assumptions'!$E$24-(12-'Assumptions'!$E$28+0.5)/12-(K$7-'Assumptions'!$E$54-1)))))</x:f>
        <x:v>21551.282051282047</x:v>
      </x:c>
      <x:c r="L17" s="29" t="n">
        <x:f>IF(OR('Assumptions'!$E$54=0,L$7&lt;'Assumptions'!$E$54),0,SUM($E$14:$N$14)/'Assumptions'!$E$24*IF(L$7='Assumptions'!$E$54,(12-'Assumptions'!$E$28+0.5)/12,MAX(0,MIN(1,'Assumptions'!$E$24-(12-'Assumptions'!$E$28+0.5)/12-(L$7-'Assumptions'!$E$54-1)))))</x:f>
        <x:v>21551.282051282047</x:v>
      </x:c>
      <x:c r="M17" s="29" t="n">
        <x:f>IF(OR('Assumptions'!$E$54=0,M$7&lt;'Assumptions'!$E$54),0,SUM($E$14:$N$14)/'Assumptions'!$E$24*IF(M$7='Assumptions'!$E$54,(12-'Assumptions'!$E$28+0.5)/12,MAX(0,MIN(1,'Assumptions'!$E$24-(12-'Assumptions'!$E$28+0.5)/12-(M$7-'Assumptions'!$E$54-1)))))</x:f>
        <x:v>21551.282051282047</x:v>
      </x:c>
      <x:c r="N17" s="29" t="n">
        <x:f>IF(OR('Assumptions'!$E$54=0,N$7&lt;'Assumptions'!$E$54),0,SUM($E$14:$N$14)/'Assumptions'!$E$24*IF(N$7='Assumptions'!$E$54,(12-'Assumptions'!$E$28+0.5)/12,MAX(0,MIN(1,'Assumptions'!$E$24-(12-'Assumptions'!$E$28+0.5)/12-(N$7-'Assumptions'!$E$54-1)))))</x:f>
        <x:v>21551.282051282047</x:v>
      </x:c>
    </x:row>
    <x:row r="18" ht="23" customHeight="1">
      <x:c r="A18" s="2"/>
      <x:c r="B18" s="2"/>
      <x:c r="C18" s="2" t="str">
        <x:v>Second-event depreciation</x:v>
      </x:c>
      <x:c r="D18" s="28" t="n">
        <x:f>0</x:f>
        <x:v>0</x:v>
      </x:c>
      <x:c r="E18" s="29" t="n">
        <x:f>IF(OR('Assumptions'!$E$56=0,E$7&lt;'Assumptions'!$E$56),0,SUM($E$15:$N$15)/'Assumptions'!$E$24*IF(E$7='Assumptions'!$E$56,(12-'Assumptions'!$E$28+0.5)/12,MAX(0,MIN(1,'Assumptions'!$E$24-(12-'Assumptions'!$E$28+0.5)/12-(E$7-'Assumptions'!$E$56-1)))))</x:f>
        <x:v>0</x:v>
      </x:c>
      <x:c r="F18" s="29" t="n">
        <x:f>IF(OR('Assumptions'!$E$56=0,F$7&lt;'Assumptions'!$E$56),0,SUM($E$15:$N$15)/'Assumptions'!$E$24*IF(F$7='Assumptions'!$E$56,(12-'Assumptions'!$E$28+0.5)/12,MAX(0,MIN(1,'Assumptions'!$E$24-(12-'Assumptions'!$E$28+0.5)/12-(F$7-'Assumptions'!$E$56-1)))))</x:f>
        <x:v>0</x:v>
      </x:c>
      <x:c r="G18" s="29" t="n">
        <x:f>IF(OR('Assumptions'!$E$56=0,G$7&lt;'Assumptions'!$E$56),0,SUM($E$15:$N$15)/'Assumptions'!$E$24*IF(G$7='Assumptions'!$E$56,(12-'Assumptions'!$E$28+0.5)/12,MAX(0,MIN(1,'Assumptions'!$E$24-(12-'Assumptions'!$E$28+0.5)/12-(G$7-'Assumptions'!$E$56-1)))))</x:f>
        <x:v>0</x:v>
      </x:c>
      <x:c r="H18" s="29" t="n">
        <x:f>IF(OR('Assumptions'!$E$56=0,H$7&lt;'Assumptions'!$E$56),0,SUM($E$15:$N$15)/'Assumptions'!$E$24*IF(H$7='Assumptions'!$E$56,(12-'Assumptions'!$E$28+0.5)/12,MAX(0,MIN(1,'Assumptions'!$E$24-(12-'Assumptions'!$E$28+0.5)/12-(H$7-'Assumptions'!$E$56-1)))))</x:f>
        <x:v>0</x:v>
      </x:c>
      <x:c r="I18" s="29" t="n">
        <x:f>IF(OR('Assumptions'!$E$56=0,I$7&lt;'Assumptions'!$E$56),0,SUM($E$15:$N$15)/'Assumptions'!$E$24*IF(I$7='Assumptions'!$E$56,(12-'Assumptions'!$E$28+0.5)/12,MAX(0,MIN(1,'Assumptions'!$E$24-(12-'Assumptions'!$E$28+0.5)/12-(I$7-'Assumptions'!$E$56-1)))))</x:f>
        <x:v>0</x:v>
      </x:c>
      <x:c r="J18" s="29" t="n">
        <x:f>IF(OR('Assumptions'!$E$56=0,J$7&lt;'Assumptions'!$E$56),0,SUM($E$15:$N$15)/'Assumptions'!$E$24*IF(J$7='Assumptions'!$E$56,(12-'Assumptions'!$E$28+0.5)/12,MAX(0,MIN(1,'Assumptions'!$E$24-(12-'Assumptions'!$E$28+0.5)/12-(J$7-'Assumptions'!$E$56-1)))))</x:f>
        <x:v>0</x:v>
      </x:c>
      <x:c r="K18" s="29" t="n">
        <x:f>IF(OR('Assumptions'!$E$56=0,K$7&lt;'Assumptions'!$E$56),0,SUM($E$15:$N$15)/'Assumptions'!$E$24*IF(K$7='Assumptions'!$E$56,(12-'Assumptions'!$E$28+0.5)/12,MAX(0,MIN(1,'Assumptions'!$E$24-(12-'Assumptions'!$E$28+0.5)/12-(K$7-'Assumptions'!$E$56-1)))))</x:f>
        <x:v>743.3932168031347</x:v>
      </x:c>
      <x:c r="L18" s="29" t="n">
        <x:f>IF(OR('Assumptions'!$E$56=0,L$7&lt;'Assumptions'!$E$56),0,SUM($E$15:$N$15)/'Assumptions'!$E$24*IF(L$7='Assumptions'!$E$56,(12-'Assumptions'!$E$28+0.5)/12,MAX(0,MIN(1,'Assumptions'!$E$24-(12-'Assumptions'!$E$28+0.5)/12-(L$7-'Assumptions'!$E$56-1)))))</x:f>
        <x:v>17841.437203275233</x:v>
      </x:c>
      <x:c r="M18" s="29" t="n">
        <x:f>IF(OR('Assumptions'!$E$56=0,M$7&lt;'Assumptions'!$E$56),0,SUM($E$15:$N$15)/'Assumptions'!$E$24*IF(M$7='Assumptions'!$E$56,(12-'Assumptions'!$E$28+0.5)/12,MAX(0,MIN(1,'Assumptions'!$E$24-(12-'Assumptions'!$E$28+0.5)/12-(M$7-'Assumptions'!$E$56-1)))))</x:f>
        <x:v>17841.437203275233</x:v>
      </x:c>
      <x:c r="N18" s="29" t="n">
        <x:f>IF(OR('Assumptions'!$E$56=0,N$7&lt;'Assumptions'!$E$56),0,SUM($E$15:$N$15)/'Assumptions'!$E$24*IF(N$7='Assumptions'!$E$56,(12-'Assumptions'!$E$28+0.5)/12,MAX(0,MIN(1,'Assumptions'!$E$24-(12-'Assumptions'!$E$28+0.5)/12-(N$7-'Assumptions'!$E$56-1)))))</x:f>
        <x:v>17841.437203275233</x:v>
      </x:c>
    </x:row>
    <x:row r="19" ht="23" customHeight="1">
      <x:c r="A19" s="2"/>
      <x:c r="B19" s="2"/>
      <x:c r="C19" s="2" t="str">
        <x:v>Total tax depreciation</x:v>
      </x:c>
      <x:c r="D19" s="28" t="n">
        <x:f>SUM(D11:D12,D17:D18)</x:f>
        <x:v>0</x:v>
      </x:c>
      <x:c r="E19" s="28" t="n">
        <x:f>SUM(E11:E12,E17:E18)</x:f>
        <x:v>0</x:v>
      </x:c>
      <x:c r="F19" s="28" t="n">
        <x:f>SUM(F11:F12,F17:F18)</x:f>
        <x:v>0</x:v>
      </x:c>
      <x:c r="G19" s="28" t="n">
        <x:f>SUM(G11:G12,G17:G18)</x:f>
        <x:v>897.9700854700852</x:v>
      </x:c>
      <x:c r="H19" s="28" t="n">
        <x:f>SUM(H11:H12,H17:H18)</x:f>
        <x:v>21551.282051282047</x:v>
      </x:c>
      <x:c r="I19" s="28" t="n">
        <x:f>SUM(I11:I12,I17:I18)</x:f>
        <x:v>21551.282051282047</x:v>
      </x:c>
      <x:c r="J19" s="28" t="n">
        <x:f>SUM(J11:J12,J17:J18)</x:f>
        <x:v>21551.282051282047</x:v>
      </x:c>
      <x:c r="K19" s="28" t="n">
        <x:f>SUM(K11:K12,K17:K18)</x:f>
        <x:v>22294.675268085182</x:v>
      </x:c>
      <x:c r="L19" s="28" t="n">
        <x:f>SUM(L11:L12,L17:L18)</x:f>
        <x:v>39392.719254557276</x:v>
      </x:c>
      <x:c r="M19" s="28" t="n">
        <x:f>SUM(M11:M12,M17:M18)</x:f>
        <x:v>39392.719254557276</x:v>
      </x:c>
      <x:c r="N19" s="28" t="n">
        <x:f>SUM(N11:N12,N17:N18)</x:f>
        <x:v>39392.719254557276</x:v>
      </x:c>
    </x:row>
    <x:row r="20" ht="23" customHeight="1">
      <x:c r="A20" s="2"/>
      <x:c r="B20" s="2"/>
      <x:c r="C20" s="2" t="str">
        <x:v>Initial asset ending tax basis</x:v>
      </x:c>
      <x:c r="D20" s="28" t="n">
        <x:f>0</x:f>
        <x:v>0</x:v>
      </x:c>
      <x:c r="E20" s="28" t="n">
        <x:f>D20-SUM(E11:E12)</x:f>
        <x:v>0</x:v>
      </x:c>
      <x:c r="F20" s="28" t="n">
        <x:f>E20-SUM(F11:F12)</x:f>
        <x:v>0</x:v>
      </x:c>
      <x:c r="G20" s="28" t="n">
        <x:f>F20-SUM(G11:G12)</x:f>
        <x:v>0</x:v>
      </x:c>
      <x:c r="H20" s="28" t="n">
        <x:f>G20-SUM(H11:H12)</x:f>
        <x:v>0</x:v>
      </x:c>
      <x:c r="I20" s="28" t="n">
        <x:f>H20-SUM(I11:I12)</x:f>
        <x:v>0</x:v>
      </x:c>
      <x:c r="J20" s="28" t="n">
        <x:f>I20-SUM(J11:J12)</x:f>
        <x:v>0</x:v>
      </x:c>
      <x:c r="K20" s="28" t="n">
        <x:f>J20-SUM(K11:K12)</x:f>
        <x:v>0</x:v>
      </x:c>
      <x:c r="L20" s="28" t="n">
        <x:f>K20-SUM(L11:L12)</x:f>
        <x:v>0</x:v>
      </x:c>
      <x:c r="M20" s="28" t="n">
        <x:f>L20-SUM(M11:M12)</x:f>
        <x:v>0</x:v>
      </x:c>
      <x:c r="N20" s="28" t="n">
        <x:f>M20-SUM(N11:N12)</x:f>
        <x:v>0</x:v>
      </x:c>
    </x:row>
    <x:row r="21" ht="23" customHeight="1">
      <x:c r="A21" s="2"/>
      <x:c r="B21" s="2"/>
      <x:c r="C21" s="2" t="str">
        <x:v>Sustaining ending tax basis</x:v>
      </x:c>
      <x:c r="D21" s="28" t="n">
        <x:f>0</x:f>
        <x:v>0</x:v>
      </x:c>
      <x:c r="E21" s="28" t="n">
        <x:f>D21+E16-SUM(E17:E18)</x:f>
        <x:v>0</x:v>
      </x:c>
      <x:c r="F21" s="28" t="n">
        <x:f>E21+F16-SUM(F17:F18)</x:f>
        <x:v>0</x:v>
      </x:c>
      <x:c r="G21" s="28" t="n">
        <x:f>F21+G16-SUM(G17:G18)</x:f>
        <x:v>839602.0299145298</x:v>
      </x:c>
      <x:c r="H21" s="28" t="n">
        <x:f>G21+H16-SUM(H17:H18)</x:f>
        <x:v>818050.7478632478</x:v>
      </x:c>
      <x:c r="I21" s="28" t="n">
        <x:f>H21+I16-SUM(I17:I18)</x:f>
        <x:v>796499.4658119658</x:v>
      </x:c>
      <x:c r="J21" s="28" t="n">
        <x:f>I21+J16-SUM(J17:J18)</x:f>
        <x:v>774948.1837606838</x:v>
      </x:c>
      <x:c r="K21" s="28" t="n">
        <x:f>J21+K16-SUM(K17:K18)</x:f>
        <x:v>1448469.5594203325</x:v>
      </x:c>
      <x:c r="L21" s="28" t="n">
        <x:f>K21+L16-SUM(L17:L18)</x:f>
        <x:v>1409076.8401657753</x:v>
      </x:c>
      <x:c r="M21" s="28" t="n">
        <x:f>L21+M16-SUM(M17:M18)</x:f>
        <x:v>1369684.120911218</x:v>
      </x:c>
      <x:c r="N21" s="28" t="n">
        <x:f>M21+N16-SUM(N17:N18)</x:f>
        <x:v>1330291.4016566607</x:v>
      </x:c>
    </x:row>
    <x:row r="22" ht="23" customHeight="1">
      <x:c r="A22" s="2"/>
      <x:c r="B22" s="2"/>
      <x:c r="C22" s="2" t="str">
        <x:v>Reference initial book depreciation</x:v>
      </x:c>
      <x:c r="D22" s="28" t="n">
        <x:f>0</x:f>
        <x:v>0</x:v>
      </x:c>
      <x:c r="E22" s="28" t="n">
        <x:f>0</x:f>
        <x:v>0</x:v>
      </x:c>
      <x:c r="F22" s="28" t="n">
        <x:f>0</x:f>
        <x:v>0</x:v>
      </x:c>
      <x:c r="G22" s="28" t="n">
        <x:f>0</x:f>
        <x:v>0</x:v>
      </x:c>
      <x:c r="H22" s="28" t="n">
        <x:f>0</x:f>
        <x:v>0</x:v>
      </x:c>
      <x:c r="I22" s="28" t="n">
        <x:f>0</x:f>
        <x:v>0</x:v>
      </x:c>
      <x:c r="J22" s="28" t="n">
        <x:f>0</x:f>
        <x:v>0</x:v>
      </x:c>
      <x:c r="K22" s="28" t="n">
        <x:f>0</x:f>
        <x:v>0</x:v>
      </x:c>
      <x:c r="L22" s="28" t="n">
        <x:f>0</x:f>
        <x:v>0</x:v>
      </x:c>
      <x:c r="M22" s="28" t="n">
        <x:f>0</x:f>
        <x:v>0</x:v>
      </x:c>
      <x:c r="N22" s="28" t="n">
        <x:f>0</x:f>
        <x:v>0</x:v>
      </x:c>
    </x:row>
    <x:row r="23" ht="23" customHeight="1">
      <x:c r="A23" s="2"/>
      <x:c r="B23" s="2"/>
      <x:c r="C23" s="2"/>
      <x:c r="D23" s="2"/>
      <x:c r="E23" s="2"/>
      <x:c r="F23" s="2"/>
      <x:c r="G23" s="2"/>
      <x:c r="H23" s="2"/>
      <x:c r="I23" s="2"/>
      <x:c r="J23" s="2"/>
      <x:c r="K23" s="2"/>
      <x:c r="L23" s="2"/>
      <x:c r="M23" s="2"/>
      <x:c r="N23" s="2"/>
    </x:row>
    <x:row r="24" ht="23" customHeight="1">
      <x:c r="A24" s="2"/>
      <x:c r="B24" s="2"/>
      <x:c r="C24" s="2"/>
      <x:c r="D24" s="2"/>
      <x:c r="E24" s="2"/>
      <x:c r="F24" s="2"/>
      <x:c r="G24" s="2"/>
      <x:c r="H24" s="2"/>
      <x:c r="I24" s="2"/>
      <x:c r="J24" s="2"/>
      <x:c r="K24" s="2"/>
      <x:c r="L24" s="2"/>
      <x:c r="M24" s="2"/>
      <x:c r="N24" s="2"/>
    </x:row>
    <x:row r="25" ht="23" customHeight="1">
      <x:c r="A25" s="2"/>
      <x:c r="B25" s="2"/>
      <x:c r="C25" s="2"/>
      <x:c r="D25" s="2"/>
      <x:c r="E25" s="2"/>
      <x:c r="F25" s="2"/>
      <x:c r="G25" s="2"/>
      <x:c r="H25" s="2"/>
      <x:c r="I25" s="2"/>
      <x:c r="J25" s="2"/>
      <x:c r="K25" s="2"/>
      <x:c r="L25" s="2"/>
      <x:c r="M25" s="2"/>
      <x:c r="N25" s="2"/>
    </x:row>
    <x:row r="26" ht="23" customHeight="1">
      <x:c r="A26" s="2"/>
      <x:c r="B26" s="2"/>
      <x:c r="C26" s="18" t="str">
        <x:v>B Full</x:v>
      </x:c>
      <x:c r="D26" s="18"/>
      <x:c r="E26" s="18"/>
      <x:c r="F26" s="18"/>
      <x:c r="G26" s="18"/>
      <x:c r="H26" s="18"/>
      <x:c r="I26" s="18"/>
      <x:c r="J26" s="18"/>
      <x:c r="K26" s="18"/>
      <x:c r="L26" s="18"/>
      <x:c r="M26" s="18"/>
      <x:c r="N26" s="18"/>
    </x:row>
    <x:row r="27" ht="23" customHeight="1">
      <x:c r="A27" s="2"/>
      <x:c r="B27" s="2"/>
      <x:c r="C27" s="2" t="str">
        <x:v>Initial real-property depreciation</x:v>
      </x:c>
      <x:c r="D27" s="28" t="n">
        <x:f>0</x:f>
        <x:v>0</x:v>
      </x:c>
      <x:c r="E27" s="29" t="n">
        <x:f>'CapEx'!$F$30/'Assumptions'!$E$24*IF(E$7=1,(12-'Assumptions'!$E$27+0.5)/12,MAX(0,MIN(1,'Assumptions'!$E$24-(12-'Assumptions'!$E$27+0.5)/12-(E$7-2))))</x:f>
        <x:v>121634.61538461539</x:v>
      </x:c>
      <x:c r="F27" s="29" t="n">
        <x:f>'CapEx'!$F$30/'Assumptions'!$E$24*IF(F$7=1,(12-'Assumptions'!$E$27+0.5)/12,MAX(0,MIN(1,'Assumptions'!$E$24-(12-'Assumptions'!$E$27+0.5)/12-(F$7-2))))</x:f>
        <x:v>126923.07692307692</x:v>
      </x:c>
      <x:c r="G27" s="29" t="n">
        <x:f>'CapEx'!$F$30/'Assumptions'!$E$24*IF(G$7=1,(12-'Assumptions'!$E$27+0.5)/12,MAX(0,MIN(1,'Assumptions'!$E$24-(12-'Assumptions'!$E$27+0.5)/12-(G$7-2))))</x:f>
        <x:v>126923.07692307692</x:v>
      </x:c>
      <x:c r="H27" s="29" t="n">
        <x:f>'CapEx'!$F$30/'Assumptions'!$E$24*IF(H$7=1,(12-'Assumptions'!$E$27+0.5)/12,MAX(0,MIN(1,'Assumptions'!$E$24-(12-'Assumptions'!$E$27+0.5)/12-(H$7-2))))</x:f>
        <x:v>126923.07692307692</x:v>
      </x:c>
      <x:c r="I27" s="29" t="n">
        <x:f>'CapEx'!$F$30/'Assumptions'!$E$24*IF(I$7=1,(12-'Assumptions'!$E$27+0.5)/12,MAX(0,MIN(1,'Assumptions'!$E$24-(12-'Assumptions'!$E$27+0.5)/12-(I$7-2))))</x:f>
        <x:v>126923.07692307692</x:v>
      </x:c>
      <x:c r="J27" s="29" t="n">
        <x:f>'CapEx'!$F$30/'Assumptions'!$E$24*IF(J$7=1,(12-'Assumptions'!$E$27+0.5)/12,MAX(0,MIN(1,'Assumptions'!$E$24-(12-'Assumptions'!$E$27+0.5)/12-(J$7-2))))</x:f>
        <x:v>126923.07692307692</x:v>
      </x:c>
      <x:c r="K27" s="29" t="n">
        <x:f>'CapEx'!$F$30/'Assumptions'!$E$24*IF(K$7=1,(12-'Assumptions'!$E$27+0.5)/12,MAX(0,MIN(1,'Assumptions'!$E$24-(12-'Assumptions'!$E$27+0.5)/12-(K$7-2))))</x:f>
        <x:v>126923.07692307692</x:v>
      </x:c>
      <x:c r="L27" s="29" t="n">
        <x:f>'CapEx'!$F$30/'Assumptions'!$E$24*IF(L$7=1,(12-'Assumptions'!$E$27+0.5)/12,MAX(0,MIN(1,'Assumptions'!$E$24-(12-'Assumptions'!$E$27+0.5)/12-(L$7-2))))</x:f>
        <x:v>126923.07692307692</x:v>
      </x:c>
      <x:c r="M27" s="29" t="n">
        <x:f>'CapEx'!$F$30/'Assumptions'!$E$24*IF(M$7=1,(12-'Assumptions'!$E$27+0.5)/12,MAX(0,MIN(1,'Assumptions'!$E$24-(12-'Assumptions'!$E$27+0.5)/12-(M$7-2))))</x:f>
        <x:v>126923.07692307692</x:v>
      </x:c>
      <x:c r="N27" s="29" t="n">
        <x:f>'CapEx'!$F$30/'Assumptions'!$E$24*IF(N$7=1,(12-'Assumptions'!$E$27+0.5)/12,MAX(0,MIN(1,'Assumptions'!$E$24-(12-'Assumptions'!$E$27+0.5)/12-(N$7-2))))</x:f>
        <x:v>126923.07692307692</x:v>
      </x:c>
    </x:row>
    <x:row r="28" ht="23" customHeight="1">
      <x:c r="A28" s="2"/>
      <x:c r="B28" s="2"/>
      <x:c r="C28" s="2" t="str">
        <x:v>Initial computer MACRS</x:v>
      </x:c>
      <x:c r="D28" s="28" t="n">
        <x:f>0</x:f>
        <x:v>0</x:v>
      </x:c>
      <x:c r="E28" s="29" t="n">
        <x:f>IF(E$7&lt;=6,'CapEx'!$F$31*INDEX('Assumptions'!$D$90:$I$90,1,E$7),0)</x:f>
        <x:v>5000</x:v>
      </x:c>
      <x:c r="F28" s="29" t="n">
        <x:f>IF(F$7&lt;=6,'CapEx'!$F$31*INDEX('Assumptions'!$D$90:$I$90,1,F$7),0)</x:f>
        <x:v>8000</x:v>
      </x:c>
      <x:c r="G28" s="29" t="n">
        <x:f>IF(G$7&lt;=6,'CapEx'!$F$31*INDEX('Assumptions'!$D$90:$I$90,1,G$7),0)</x:f>
        <x:v>4800</x:v>
      </x:c>
      <x:c r="H28" s="29" t="n">
        <x:f>IF(H$7&lt;=6,'CapEx'!$F$31*INDEX('Assumptions'!$D$90:$I$90,1,H$7),0)</x:f>
        <x:v>2880</x:v>
      </x:c>
      <x:c r="I28" s="29" t="n">
        <x:f>IF(I$7&lt;=6,'CapEx'!$F$31*INDEX('Assumptions'!$D$90:$I$90,1,I$7),0)</x:f>
        <x:v>2880</x:v>
      </x:c>
      <x:c r="J28" s="29" t="n">
        <x:f>IF(J$7&lt;=6,'CapEx'!$F$31*INDEX('Assumptions'!$D$90:$I$90,1,J$7),0)</x:f>
        <x:v>1440</x:v>
      </x:c>
      <x:c r="K28" s="29" t="n">
        <x:f>IF(K$7&lt;=6,'CapEx'!$F$31*INDEX('Assumptions'!$D$90:$I$90,1,K$7),0)</x:f>
        <x:v>0</x:v>
      </x:c>
      <x:c r="L28" s="29" t="n">
        <x:f>IF(L$7&lt;=6,'CapEx'!$F$31*INDEX('Assumptions'!$D$90:$I$90,1,L$7),0)</x:f>
        <x:v>0</x:v>
      </x:c>
      <x:c r="M28" s="29" t="n">
        <x:f>IF(M$7&lt;=6,'CapEx'!$F$31*INDEX('Assumptions'!$D$90:$I$90,1,M$7),0)</x:f>
        <x:v>0</x:v>
      </x:c>
      <x:c r="N28" s="29" t="n">
        <x:f>IF(N$7&lt;=6,'CapEx'!$F$31*INDEX('Assumptions'!$D$90:$I$90,1,N$7),0)</x:f>
        <x:v>0</x:v>
      </x:c>
    </x:row>
    <x:row r="29" ht="23" customHeight="1">
      <x:c r="A29" s="2"/>
      <x:c r="B29" s="2"/>
      <x:c r="C29" s="2" t="str">
        <x:v>Training deduction</x:v>
      </x:c>
      <x:c r="D29" s="28" t="n">
        <x:f>0</x:f>
        <x:v>0</x:v>
      </x:c>
      <x:c r="E29" s="29" t="n">
        <x:f>'CapEx'!$F$32</x:f>
        <x:v>25000</x:v>
      </x:c>
      <x:c r="F29" s="28" t="n">
        <x:f>0</x:f>
        <x:v>0</x:v>
      </x:c>
      <x:c r="G29" s="28" t="n">
        <x:f>0</x:f>
        <x:v>0</x:v>
      </x:c>
      <x:c r="H29" s="28" t="n">
        <x:f>0</x:f>
        <x:v>0</x:v>
      </x:c>
      <x:c r="I29" s="28" t="n">
        <x:f>0</x:f>
        <x:v>0</x:v>
      </x:c>
      <x:c r="J29" s="28" t="n">
        <x:f>0</x:f>
        <x:v>0</x:v>
      </x:c>
      <x:c r="K29" s="28" t="n">
        <x:f>0</x:f>
        <x:v>0</x:v>
      </x:c>
      <x:c r="L29" s="28" t="n">
        <x:f>0</x:f>
        <x:v>0</x:v>
      </x:c>
      <x:c r="M29" s="28" t="n">
        <x:f>0</x:f>
        <x:v>0</x:v>
      </x:c>
      <x:c r="N29" s="28" t="n">
        <x:f>0</x:f>
        <x:v>0</x:v>
      </x:c>
    </x:row>
    <x:row r="30" ht="23" customHeight="1">
      <x:c r="A30" s="2"/>
      <x:c r="B30" s="2"/>
      <x:c r="C30" s="2" t="str">
        <x:v>First sustaining capital addition</x:v>
      </x:c>
      <x:c r="D30" s="28" t="n">
        <x:f>0</x:f>
        <x:v>0</x:v>
      </x:c>
      <x:c r="E30" s="29" t="n">
        <x:f>IF(AND('Assumptions'!$F$54&gt;0,E$7='Assumptions'!$F$54),'Assumptions'!$F$53*(1+'Assumptions'!$E$20)^(E$7-1),0)</x:f>
        <x:v>0</x:v>
      </x:c>
      <x:c r="F30" s="29" t="n">
        <x:f>IF(AND('Assumptions'!$F$54&gt;0,F$7='Assumptions'!$F$54),'Assumptions'!$F$53*(1+'Assumptions'!$E$20)^(F$7-1),0)</x:f>
        <x:v>0</x:v>
      </x:c>
      <x:c r="G30" s="29" t="n">
        <x:f>IF(AND('Assumptions'!$F$54&gt;0,G$7='Assumptions'!$F$54),'Assumptions'!$F$53*(1+'Assumptions'!$E$20)^(G$7-1),0)</x:f>
        <x:v>0</x:v>
      </x:c>
      <x:c r="H30" s="29" t="n">
        <x:f>IF(AND('Assumptions'!$F$54&gt;0,H$7='Assumptions'!$F$54),'Assumptions'!$F$53*(1+'Assumptions'!$E$20)^(H$7-1),0)</x:f>
        <x:v>0</x:v>
      </x:c>
      <x:c r="I30" s="29" t="n">
        <x:f>IF(AND('Assumptions'!$F$54&gt;0,I$7='Assumptions'!$F$54),'Assumptions'!$F$53*(1+'Assumptions'!$E$20)^(I$7-1),0)</x:f>
        <x:v>0</x:v>
      </x:c>
      <x:c r="J30" s="29" t="n">
        <x:f>IF(AND('Assumptions'!$F$54&gt;0,J$7='Assumptions'!$F$54),'Assumptions'!$F$53*(1+'Assumptions'!$E$20)^(J$7-1),0)</x:f>
        <x:v>0</x:v>
      </x:c>
      <x:c r="K30" s="29" t="n">
        <x:f>IF(AND('Assumptions'!$F$54&gt;0,K$7='Assumptions'!$F$54),'Assumptions'!$F$53*(1+'Assumptions'!$E$20)^(K$7-1),0)</x:f>
        <x:v>173954.0127319335</x:v>
      </x:c>
      <x:c r="L30" s="29" t="n">
        <x:f>IF(AND('Assumptions'!$F$54&gt;0,L$7='Assumptions'!$F$54),'Assumptions'!$F$53*(1+'Assumptions'!$E$20)^(L$7-1),0)</x:f>
        <x:v>0</x:v>
      </x:c>
      <x:c r="M30" s="29" t="n">
        <x:f>IF(AND('Assumptions'!$F$54&gt;0,M$7='Assumptions'!$F$54),'Assumptions'!$F$53*(1+'Assumptions'!$E$20)^(M$7-1),0)</x:f>
        <x:v>0</x:v>
      </x:c>
      <x:c r="N30" s="29" t="n">
        <x:f>IF(AND('Assumptions'!$F$54&gt;0,N$7='Assumptions'!$F$54),'Assumptions'!$F$53*(1+'Assumptions'!$E$20)^(N$7-1),0)</x:f>
        <x:v>0</x:v>
      </x:c>
    </x:row>
    <x:row r="31" ht="23" customHeight="1">
      <x:c r="A31" s="2"/>
      <x:c r="B31" s="2"/>
      <x:c r="C31" s="2" t="str">
        <x:v>Second sustaining capital addition</x:v>
      </x:c>
      <x:c r="D31" s="28" t="n">
        <x:f>0</x:f>
        <x:v>0</x:v>
      </x:c>
      <x:c r="E31" s="29" t="n">
        <x:f>IF(AND('Assumptions'!$F$56&gt;0,E$7='Assumptions'!$F$56),'Assumptions'!$F$55*(1+'Assumptions'!$E$20)^(E$7-1),0)</x:f>
        <x:v>0</x:v>
      </x:c>
      <x:c r="F31" s="29" t="n">
        <x:f>IF(AND('Assumptions'!$F$56&gt;0,F$7='Assumptions'!$F$56),'Assumptions'!$F$55*(1+'Assumptions'!$E$20)^(F$7-1),0)</x:f>
        <x:v>0</x:v>
      </x:c>
      <x:c r="G31" s="29" t="n">
        <x:f>IF(AND('Assumptions'!$F$56&gt;0,G$7='Assumptions'!$F$56),'Assumptions'!$F$55*(1+'Assumptions'!$E$20)^(G$7-1),0)</x:f>
        <x:v>0</x:v>
      </x:c>
      <x:c r="H31" s="29" t="n">
        <x:f>IF(AND('Assumptions'!$F$56&gt;0,H$7='Assumptions'!$F$56),'Assumptions'!$F$55*(1+'Assumptions'!$E$20)^(H$7-1),0)</x:f>
        <x:v>0</x:v>
      </x:c>
      <x:c r="I31" s="29" t="n">
        <x:f>IF(AND('Assumptions'!$F$56&gt;0,I$7='Assumptions'!$F$56),'Assumptions'!$F$55*(1+'Assumptions'!$E$20)^(I$7-1),0)</x:f>
        <x:v>0</x:v>
      </x:c>
      <x:c r="J31" s="29" t="n">
        <x:f>IF(AND('Assumptions'!$F$56&gt;0,J$7='Assumptions'!$F$56),'Assumptions'!$F$55*(1+'Assumptions'!$E$20)^(J$7-1),0)</x:f>
        <x:v>0</x:v>
      </x:c>
      <x:c r="K31" s="29" t="n">
        <x:f>IF(AND('Assumptions'!$F$56&gt;0,K$7='Assumptions'!$F$56),'Assumptions'!$F$55*(1+'Assumptions'!$E$20)^(K$7-1),0)</x:f>
        <x:v>0</x:v>
      </x:c>
      <x:c r="L31" s="29" t="n">
        <x:f>IF(AND('Assumptions'!$F$56&gt;0,L$7='Assumptions'!$F$56),'Assumptions'!$F$55*(1+'Assumptions'!$E$20)^(L$7-1),0)</x:f>
        <x:v>0</x:v>
      </x:c>
      <x:c r="M31" s="29" t="n">
        <x:f>IF(AND('Assumptions'!$F$56&gt;0,M$7='Assumptions'!$F$56),'Assumptions'!$F$55*(1+'Assumptions'!$E$20)^(M$7-1),0)</x:f>
        <x:v>0</x:v>
      </x:c>
      <x:c r="N31" s="29" t="n">
        <x:f>IF(AND('Assumptions'!$F$56&gt;0,N$7='Assumptions'!$F$56),'Assumptions'!$F$55*(1+'Assumptions'!$E$20)^(N$7-1),0)</x:f>
        <x:v>0</x:v>
      </x:c>
    </x:row>
    <x:row r="32" ht="23" customHeight="1">
      <x:c r="A32" s="2"/>
      <x:c r="B32" s="2"/>
      <x:c r="C32" s="2" t="str">
        <x:v>Total sustaining additions</x:v>
      </x:c>
      <x:c r="D32" s="28" t="n">
        <x:f>SUM(D30:D31)</x:f>
        <x:v>0</x:v>
      </x:c>
      <x:c r="E32" s="28" t="n">
        <x:f>SUM(E30:E31)</x:f>
        <x:v>0</x:v>
      </x:c>
      <x:c r="F32" s="28" t="n">
        <x:f>SUM(F30:F31)</x:f>
        <x:v>0</x:v>
      </x:c>
      <x:c r="G32" s="28" t="n">
        <x:f>SUM(G30:G31)</x:f>
        <x:v>0</x:v>
      </x:c>
      <x:c r="H32" s="28" t="n">
        <x:f>SUM(H30:H31)</x:f>
        <x:v>0</x:v>
      </x:c>
      <x:c r="I32" s="28" t="n">
        <x:f>SUM(I30:I31)</x:f>
        <x:v>0</x:v>
      </x:c>
      <x:c r="J32" s="28" t="n">
        <x:f>SUM(J30:J31)</x:f>
        <x:v>0</x:v>
      </x:c>
      <x:c r="K32" s="28" t="n">
        <x:f>SUM(K30:K31)</x:f>
        <x:v>173954.0127319335</x:v>
      </x:c>
      <x:c r="L32" s="28" t="n">
        <x:f>SUM(L30:L31)</x:f>
        <x:v>0</x:v>
      </x:c>
      <x:c r="M32" s="28" t="n">
        <x:f>SUM(M30:M31)</x:f>
        <x:v>0</x:v>
      </x:c>
      <x:c r="N32" s="28" t="n">
        <x:f>SUM(N30:N31)</x:f>
        <x:v>0</x:v>
      </x:c>
    </x:row>
    <x:row r="33" ht="23" customHeight="1">
      <x:c r="A33" s="2"/>
      <x:c r="B33" s="2"/>
      <x:c r="C33" s="2" t="str">
        <x:v>First-event depreciation</x:v>
      </x:c>
      <x:c r="D33" s="28" t="n">
        <x:f>0</x:f>
        <x:v>0</x:v>
      </x:c>
      <x:c r="E33" s="29" t="n">
        <x:f>IF(OR('Assumptions'!$F$54=0,E$7&lt;'Assumptions'!$F$54),0,SUM($E$30:$N$30)/'Assumptions'!$E$24*IF(E$7='Assumptions'!$F$54,(12-'Assumptions'!$E$28+0.5)/12,MAX(0,MIN(1,'Assumptions'!$E$24-(12-'Assumptions'!$E$28+0.5)/12-(E$7-'Assumptions'!$F$54-1)))))</x:f>
        <x:v>0</x:v>
      </x:c>
      <x:c r="F33" s="29" t="n">
        <x:f>IF(OR('Assumptions'!$F$54=0,F$7&lt;'Assumptions'!$F$54),0,SUM($E$30:$N$30)/'Assumptions'!$E$24*IF(F$7='Assumptions'!$F$54,(12-'Assumptions'!$E$28+0.5)/12,MAX(0,MIN(1,'Assumptions'!$E$24-(12-'Assumptions'!$E$28+0.5)/12-(F$7-'Assumptions'!$F$54-1)))))</x:f>
        <x:v>0</x:v>
      </x:c>
      <x:c r="G33" s="29" t="n">
        <x:f>IF(OR('Assumptions'!$F$54=0,G$7&lt;'Assumptions'!$F$54),0,SUM($E$30:$N$30)/'Assumptions'!$E$24*IF(G$7='Assumptions'!$F$54,(12-'Assumptions'!$E$28+0.5)/12,MAX(0,MIN(1,'Assumptions'!$E$24-(12-'Assumptions'!$E$28+0.5)/12-(G$7-'Assumptions'!$F$54-1)))))</x:f>
        <x:v>0</x:v>
      </x:c>
      <x:c r="H33" s="29" t="n">
        <x:f>IF(OR('Assumptions'!$F$54=0,H$7&lt;'Assumptions'!$F$54),0,SUM($E$30:$N$30)/'Assumptions'!$E$24*IF(H$7='Assumptions'!$F$54,(12-'Assumptions'!$E$28+0.5)/12,MAX(0,MIN(1,'Assumptions'!$E$24-(12-'Assumptions'!$E$28+0.5)/12-(H$7-'Assumptions'!$F$54-1)))))</x:f>
        <x:v>0</x:v>
      </x:c>
      <x:c r="I33" s="29" t="n">
        <x:f>IF(OR('Assumptions'!$F$54=0,I$7&lt;'Assumptions'!$F$54),0,SUM($E$30:$N$30)/'Assumptions'!$E$24*IF(I$7='Assumptions'!$F$54,(12-'Assumptions'!$E$28+0.5)/12,MAX(0,MIN(1,'Assumptions'!$E$24-(12-'Assumptions'!$E$28+0.5)/12-(I$7-'Assumptions'!$F$54-1)))))</x:f>
        <x:v>0</x:v>
      </x:c>
      <x:c r="J33" s="29" t="n">
        <x:f>IF(OR('Assumptions'!$F$54=0,J$7&lt;'Assumptions'!$F$54),0,SUM($E$30:$N$30)/'Assumptions'!$E$24*IF(J$7='Assumptions'!$F$54,(12-'Assumptions'!$E$28+0.5)/12,MAX(0,MIN(1,'Assumptions'!$E$24-(12-'Assumptions'!$E$28+0.5)/12-(J$7-'Assumptions'!$F$54-1)))))</x:f>
        <x:v>0</x:v>
      </x:c>
      <x:c r="K33" s="29" t="n">
        <x:f>IF(OR('Assumptions'!$F$54=0,K$7&lt;'Assumptions'!$F$54),0,SUM($E$30:$N$30)/'Assumptions'!$E$24*IF(K$7='Assumptions'!$F$54,(12-'Assumptions'!$E$28+0.5)/12,MAX(0,MIN(1,'Assumptions'!$E$24-(12-'Assumptions'!$E$28+0.5)/12-(K$7-'Assumptions'!$F$54-1)))))</x:f>
        <x:v>185.84830420078367</x:v>
      </x:c>
      <x:c r="L33" s="29" t="n">
        <x:f>IF(OR('Assumptions'!$F$54=0,L$7&lt;'Assumptions'!$F$54),0,SUM($E$30:$N$30)/'Assumptions'!$E$24*IF(L$7='Assumptions'!$F$54,(12-'Assumptions'!$E$28+0.5)/12,MAX(0,MIN(1,'Assumptions'!$E$24-(12-'Assumptions'!$E$28+0.5)/12-(L$7-'Assumptions'!$F$54-1)))))</x:f>
        <x:v>4460.359300818808</x:v>
      </x:c>
      <x:c r="M33" s="29" t="n">
        <x:f>IF(OR('Assumptions'!$F$54=0,M$7&lt;'Assumptions'!$F$54),0,SUM($E$30:$N$30)/'Assumptions'!$E$24*IF(M$7='Assumptions'!$F$54,(12-'Assumptions'!$E$28+0.5)/12,MAX(0,MIN(1,'Assumptions'!$E$24-(12-'Assumptions'!$E$28+0.5)/12-(M$7-'Assumptions'!$F$54-1)))))</x:f>
        <x:v>4460.359300818808</x:v>
      </x:c>
      <x:c r="N33" s="29" t="n">
        <x:f>IF(OR('Assumptions'!$F$54=0,N$7&lt;'Assumptions'!$F$54),0,SUM($E$30:$N$30)/'Assumptions'!$E$24*IF(N$7='Assumptions'!$F$54,(12-'Assumptions'!$E$28+0.5)/12,MAX(0,MIN(1,'Assumptions'!$E$24-(12-'Assumptions'!$E$28+0.5)/12-(N$7-'Assumptions'!$F$54-1)))))</x:f>
        <x:v>4460.359300818808</x:v>
      </x:c>
    </x:row>
    <x:row r="34" ht="23" customHeight="1">
      <x:c r="A34" s="2"/>
      <x:c r="B34" s="2"/>
      <x:c r="C34" s="2" t="str">
        <x:v>Second-event depreciation</x:v>
      </x:c>
      <x:c r="D34" s="28" t="n">
        <x:f>0</x:f>
        <x:v>0</x:v>
      </x:c>
      <x:c r="E34" s="29" t="n">
        <x:f>IF(OR('Assumptions'!$F$56=0,E$7&lt;'Assumptions'!$F$56),0,SUM($E$31:$N$31)/'Assumptions'!$E$24*IF(E$7='Assumptions'!$F$56,(12-'Assumptions'!$E$28+0.5)/12,MAX(0,MIN(1,'Assumptions'!$E$24-(12-'Assumptions'!$E$28+0.5)/12-(E$7-'Assumptions'!$F$56-1)))))</x:f>
        <x:v>0</x:v>
      </x:c>
      <x:c r="F34" s="29" t="n">
        <x:f>IF(OR('Assumptions'!$F$56=0,F$7&lt;'Assumptions'!$F$56),0,SUM($E$31:$N$31)/'Assumptions'!$E$24*IF(F$7='Assumptions'!$F$56,(12-'Assumptions'!$E$28+0.5)/12,MAX(0,MIN(1,'Assumptions'!$E$24-(12-'Assumptions'!$E$28+0.5)/12-(F$7-'Assumptions'!$F$56-1)))))</x:f>
        <x:v>0</x:v>
      </x:c>
      <x:c r="G34" s="29" t="n">
        <x:f>IF(OR('Assumptions'!$F$56=0,G$7&lt;'Assumptions'!$F$56),0,SUM($E$31:$N$31)/'Assumptions'!$E$24*IF(G$7='Assumptions'!$F$56,(12-'Assumptions'!$E$28+0.5)/12,MAX(0,MIN(1,'Assumptions'!$E$24-(12-'Assumptions'!$E$28+0.5)/12-(G$7-'Assumptions'!$F$56-1)))))</x:f>
        <x:v>0</x:v>
      </x:c>
      <x:c r="H34" s="29" t="n">
        <x:f>IF(OR('Assumptions'!$F$56=0,H$7&lt;'Assumptions'!$F$56),0,SUM($E$31:$N$31)/'Assumptions'!$E$24*IF(H$7='Assumptions'!$F$56,(12-'Assumptions'!$E$28+0.5)/12,MAX(0,MIN(1,'Assumptions'!$E$24-(12-'Assumptions'!$E$28+0.5)/12-(H$7-'Assumptions'!$F$56-1)))))</x:f>
        <x:v>0</x:v>
      </x:c>
      <x:c r="I34" s="29" t="n">
        <x:f>IF(OR('Assumptions'!$F$56=0,I$7&lt;'Assumptions'!$F$56),0,SUM($E$31:$N$31)/'Assumptions'!$E$24*IF(I$7='Assumptions'!$F$56,(12-'Assumptions'!$E$28+0.5)/12,MAX(0,MIN(1,'Assumptions'!$E$24-(12-'Assumptions'!$E$28+0.5)/12-(I$7-'Assumptions'!$F$56-1)))))</x:f>
        <x:v>0</x:v>
      </x:c>
      <x:c r="J34" s="29" t="n">
        <x:f>IF(OR('Assumptions'!$F$56=0,J$7&lt;'Assumptions'!$F$56),0,SUM($E$31:$N$31)/'Assumptions'!$E$24*IF(J$7='Assumptions'!$F$56,(12-'Assumptions'!$E$28+0.5)/12,MAX(0,MIN(1,'Assumptions'!$E$24-(12-'Assumptions'!$E$28+0.5)/12-(J$7-'Assumptions'!$F$56-1)))))</x:f>
        <x:v>0</x:v>
      </x:c>
      <x:c r="K34" s="29" t="n">
        <x:f>IF(OR('Assumptions'!$F$56=0,K$7&lt;'Assumptions'!$F$56),0,SUM($E$31:$N$31)/'Assumptions'!$E$24*IF(K$7='Assumptions'!$F$56,(12-'Assumptions'!$E$28+0.5)/12,MAX(0,MIN(1,'Assumptions'!$E$24-(12-'Assumptions'!$E$28+0.5)/12-(K$7-'Assumptions'!$F$56-1)))))</x:f>
        <x:v>0</x:v>
      </x:c>
      <x:c r="L34" s="29" t="n">
        <x:f>IF(OR('Assumptions'!$F$56=0,L$7&lt;'Assumptions'!$F$56),0,SUM($E$31:$N$31)/'Assumptions'!$E$24*IF(L$7='Assumptions'!$F$56,(12-'Assumptions'!$E$28+0.5)/12,MAX(0,MIN(1,'Assumptions'!$E$24-(12-'Assumptions'!$E$28+0.5)/12-(L$7-'Assumptions'!$F$56-1)))))</x:f>
        <x:v>0</x:v>
      </x:c>
      <x:c r="M34" s="29" t="n">
        <x:f>IF(OR('Assumptions'!$F$56=0,M$7&lt;'Assumptions'!$F$56),0,SUM($E$31:$N$31)/'Assumptions'!$E$24*IF(M$7='Assumptions'!$F$56,(12-'Assumptions'!$E$28+0.5)/12,MAX(0,MIN(1,'Assumptions'!$E$24-(12-'Assumptions'!$E$28+0.5)/12-(M$7-'Assumptions'!$F$56-1)))))</x:f>
        <x:v>0</x:v>
      </x:c>
      <x:c r="N34" s="29" t="n">
        <x:f>IF(OR('Assumptions'!$F$56=0,N$7&lt;'Assumptions'!$F$56),0,SUM($E$31:$N$31)/'Assumptions'!$E$24*IF(N$7='Assumptions'!$F$56,(12-'Assumptions'!$E$28+0.5)/12,MAX(0,MIN(1,'Assumptions'!$E$24-(12-'Assumptions'!$E$28+0.5)/12-(N$7-'Assumptions'!$F$56-1)))))</x:f>
        <x:v>0</x:v>
      </x:c>
    </x:row>
    <x:row r="35" ht="23" customHeight="1">
      <x:c r="A35" s="2"/>
      <x:c r="B35" s="2"/>
      <x:c r="C35" s="2" t="str">
        <x:v>Total tax depreciation</x:v>
      </x:c>
      <x:c r="D35" s="28" t="n">
        <x:f>SUM(D27:D28,D33:D34)</x:f>
        <x:v>0</x:v>
      </x:c>
      <x:c r="E35" s="28" t="n">
        <x:f>SUM(E27:E28,E33:E34)</x:f>
        <x:v>126634.61538461539</x:v>
      </x:c>
      <x:c r="F35" s="28" t="n">
        <x:f>SUM(F27:F28,F33:F34)</x:f>
        <x:v>134923.07692307694</x:v>
      </x:c>
      <x:c r="G35" s="28" t="n">
        <x:f>SUM(G27:G28,G33:G34)</x:f>
        <x:v>131723.07692307694</x:v>
      </x:c>
      <x:c r="H35" s="28" t="n">
        <x:f>SUM(H27:H28,H33:H34)</x:f>
        <x:v>129803.07692307692</x:v>
      </x:c>
      <x:c r="I35" s="28" t="n">
        <x:f>SUM(I27:I28,I33:I34)</x:f>
        <x:v>129803.07692307692</x:v>
      </x:c>
      <x:c r="J35" s="28" t="n">
        <x:f>SUM(J27:J28,J33:J34)</x:f>
        <x:v>128363.07692307692</x:v>
      </x:c>
      <x:c r="K35" s="28" t="n">
        <x:f>SUM(K27:K28,K33:K34)</x:f>
        <x:v>127108.92522727771</x:v>
      </x:c>
      <x:c r="L35" s="28" t="n">
        <x:f>SUM(L27:L28,L33:L34)</x:f>
        <x:v>131383.43622389573</x:v>
      </x:c>
      <x:c r="M35" s="28" t="n">
        <x:f>SUM(M27:M28,M33:M34)</x:f>
        <x:v>131383.43622389573</x:v>
      </x:c>
      <x:c r="N35" s="28" t="n">
        <x:f>SUM(N27:N28,N33:N34)</x:f>
        <x:v>131383.43622389573</x:v>
      </x:c>
    </x:row>
    <x:row r="36" ht="23" customHeight="1">
      <x:c r="A36" s="2"/>
      <x:c r="B36" s="2"/>
      <x:c r="C36" s="2" t="str">
        <x:v>Initial asset ending tax basis</x:v>
      </x:c>
      <x:c r="D36" s="29" t="n">
        <x:f>SUM('CapEx'!F30:F31)</x:f>
        <x:v>4975000</x:v>
      </x:c>
      <x:c r="E36" s="28" t="n">
        <x:f>D36-SUM(E27:E28)</x:f>
        <x:v>4848365.384615385</x:v>
      </x:c>
      <x:c r="F36" s="28" t="n">
        <x:f>E36-SUM(F27:F28)</x:f>
        <x:v>4713442.307692308</x:v>
      </x:c>
      <x:c r="G36" s="28" t="n">
        <x:f>F36-SUM(G27:G28)</x:f>
        <x:v>4581719.230769231</x:v>
      </x:c>
      <x:c r="H36" s="28" t="n">
        <x:f>G36-SUM(H27:H28)</x:f>
        <x:v>4451916.153846154</x:v>
      </x:c>
      <x:c r="I36" s="28" t="n">
        <x:f>H36-SUM(I27:I28)</x:f>
        <x:v>4322113.076923077</x:v>
      </x:c>
      <x:c r="J36" s="28" t="n">
        <x:f>I36-SUM(J27:J28)</x:f>
        <x:v>4193750</x:v>
      </x:c>
      <x:c r="K36" s="28" t="n">
        <x:f>J36-SUM(K27:K28)</x:f>
        <x:v>4066826.923076923</x:v>
      </x:c>
      <x:c r="L36" s="28" t="n">
        <x:f>K36-SUM(L27:L28)</x:f>
        <x:v>3939903.846153846</x:v>
      </x:c>
      <x:c r="M36" s="28" t="n">
        <x:f>L36-SUM(M27:M28)</x:f>
        <x:v>3812980.769230769</x:v>
      </x:c>
      <x:c r="N36" s="28" t="n">
        <x:f>M36-SUM(N27:N28)</x:f>
        <x:v>3686057.692307692</x:v>
      </x:c>
    </x:row>
    <x:row r="37" ht="23" customHeight="1">
      <x:c r="A37" s="2"/>
      <x:c r="B37" s="2"/>
      <x:c r="C37" s="2" t="str">
        <x:v>Sustaining ending tax basis</x:v>
      </x:c>
      <x:c r="D37" s="28" t="n">
        <x:f>0</x:f>
        <x:v>0</x:v>
      </x:c>
      <x:c r="E37" s="28" t="n">
        <x:f>D37+E32-SUM(E33:E34)</x:f>
        <x:v>0</x:v>
      </x:c>
      <x:c r="F37" s="28" t="n">
        <x:f>E37+F32-SUM(F33:F34)</x:f>
        <x:v>0</x:v>
      </x:c>
      <x:c r="G37" s="28" t="n">
        <x:f>F37+G32-SUM(G33:G34)</x:f>
        <x:v>0</x:v>
      </x:c>
      <x:c r="H37" s="28" t="n">
        <x:f>G37+H32-SUM(H33:H34)</x:f>
        <x:v>0</x:v>
      </x:c>
      <x:c r="I37" s="28" t="n">
        <x:f>H37+I32-SUM(I33:I34)</x:f>
        <x:v>0</x:v>
      </x:c>
      <x:c r="J37" s="28" t="n">
        <x:f>I37+J32-SUM(J33:J34)</x:f>
        <x:v>0</x:v>
      </x:c>
      <x:c r="K37" s="28" t="n">
        <x:f>J37+K32-SUM(K33:K34)</x:f>
        <x:v>173768.16442773273</x:v>
      </x:c>
      <x:c r="L37" s="28" t="n">
        <x:f>K37+L32-SUM(L33:L34)</x:f>
        <x:v>169307.8051269139</x:v>
      </x:c>
      <x:c r="M37" s="28" t="n">
        <x:f>L37+M32-SUM(M33:M34)</x:f>
        <x:v>164847.4458260951</x:v>
      </x:c>
      <x:c r="N37" s="28" t="n">
        <x:f>M37+N32-SUM(N33:N34)</x:f>
        <x:v>160387.08652527627</x:v>
      </x:c>
    </x:row>
    <x:row r="38" ht="23" customHeight="1">
      <x:c r="A38" s="2"/>
      <x:c r="B38" s="2"/>
      <x:c r="C38" s="2" t="str">
        <x:v>Reference initial book depreciation</x:v>
      </x:c>
      <x:c r="D38" s="28" t="n">
        <x:f>0</x:f>
        <x:v>0</x:v>
      </x:c>
      <x:c r="E38" s="29" t="n">
        <x:f>IF(E$7&lt;='Assumptions'!$E$23,'CapEx'!$F$30/'Assumptions'!$E$23,0)+IF(E$7&lt;='Assumptions'!$E$29,'CapEx'!$F$31/'Assumptions'!$E$29,0)</x:f>
        <x:v>252500</x:v>
      </x:c>
      <x:c r="F38" s="29" t="n">
        <x:f>IF(F$7&lt;='Assumptions'!$E$23,'CapEx'!$F$30/'Assumptions'!$E$23,0)+IF(F$7&lt;='Assumptions'!$E$29,'CapEx'!$F$31/'Assumptions'!$E$29,0)</x:f>
        <x:v>252500</x:v>
      </x:c>
      <x:c r="G38" s="29" t="n">
        <x:f>IF(G$7&lt;='Assumptions'!$E$23,'CapEx'!$F$30/'Assumptions'!$E$23,0)+IF(G$7&lt;='Assumptions'!$E$29,'CapEx'!$F$31/'Assumptions'!$E$29,0)</x:f>
        <x:v>252500</x:v>
      </x:c>
      <x:c r="H38" s="29" t="n">
        <x:f>IF(H$7&lt;='Assumptions'!$E$23,'CapEx'!$F$30/'Assumptions'!$E$23,0)+IF(H$7&lt;='Assumptions'!$E$29,'CapEx'!$F$31/'Assumptions'!$E$29,0)</x:f>
        <x:v>252500</x:v>
      </x:c>
      <x:c r="I38" s="29" t="n">
        <x:f>IF(I$7&lt;='Assumptions'!$E$23,'CapEx'!$F$30/'Assumptions'!$E$23,0)+IF(I$7&lt;='Assumptions'!$E$29,'CapEx'!$F$31/'Assumptions'!$E$29,0)</x:f>
        <x:v>252500</x:v>
      </x:c>
      <x:c r="J38" s="29" t="n">
        <x:f>IF(J$7&lt;='Assumptions'!$E$23,'CapEx'!$F$30/'Assumptions'!$E$23,0)+IF(J$7&lt;='Assumptions'!$E$29,'CapEx'!$F$31/'Assumptions'!$E$29,0)</x:f>
        <x:v>247500</x:v>
      </x:c>
      <x:c r="K38" s="29" t="n">
        <x:f>IF(K$7&lt;='Assumptions'!$E$23,'CapEx'!$F$30/'Assumptions'!$E$23,0)+IF(K$7&lt;='Assumptions'!$E$29,'CapEx'!$F$31/'Assumptions'!$E$29,0)</x:f>
        <x:v>247500</x:v>
      </x:c>
      <x:c r="L38" s="29" t="n">
        <x:f>IF(L$7&lt;='Assumptions'!$E$23,'CapEx'!$F$30/'Assumptions'!$E$23,0)+IF(L$7&lt;='Assumptions'!$E$29,'CapEx'!$F$31/'Assumptions'!$E$29,0)</x:f>
        <x:v>247500</x:v>
      </x:c>
      <x:c r="M38" s="29" t="n">
        <x:f>IF(M$7&lt;='Assumptions'!$E$23,'CapEx'!$F$30/'Assumptions'!$E$23,0)+IF(M$7&lt;='Assumptions'!$E$29,'CapEx'!$F$31/'Assumptions'!$E$29,0)</x:f>
        <x:v>247500</x:v>
      </x:c>
      <x:c r="N38" s="29" t="n">
        <x:f>IF(N$7&lt;='Assumptions'!$E$23,'CapEx'!$F$30/'Assumptions'!$E$23,0)+IF(N$7&lt;='Assumptions'!$E$29,'CapEx'!$F$31/'Assumptions'!$E$29,0)</x:f>
        <x:v>247500</x:v>
      </x:c>
    </x:row>
    <x:row r="39" ht="23" customHeight="1">
      <x:c r="A39" s="2"/>
      <x:c r="B39" s="2"/>
      <x:c r="C39" s="2"/>
      <x:c r="D39" s="2"/>
      <x:c r="E39" s="2"/>
      <x:c r="F39" s="2"/>
      <x:c r="G39" s="2"/>
      <x:c r="H39" s="2"/>
      <x:c r="I39" s="2"/>
      <x:c r="J39" s="2"/>
      <x:c r="K39" s="2"/>
      <x:c r="L39" s="2"/>
      <x:c r="M39" s="2"/>
      <x:c r="N39" s="2"/>
    </x:row>
    <x:row r="40" ht="23" customHeight="1">
      <x:c r="A40" s="2"/>
      <x:c r="B40" s="2"/>
      <x:c r="C40" s="2"/>
      <x:c r="D40" s="2"/>
      <x:c r="E40" s="2"/>
      <x:c r="F40" s="2"/>
      <x:c r="G40" s="2"/>
      <x:c r="H40" s="2"/>
      <x:c r="I40" s="2"/>
      <x:c r="J40" s="2"/>
      <x:c r="K40" s="2"/>
      <x:c r="L40" s="2"/>
      <x:c r="M40" s="2"/>
      <x:c r="N40" s="2"/>
    </x:row>
    <x:row r="41" ht="23" customHeight="1">
      <x:c r="A41" s="2"/>
      <x:c r="B41" s="2"/>
      <x:c r="C41" s="2"/>
      <x:c r="D41" s="2"/>
      <x:c r="E41" s="2"/>
      <x:c r="F41" s="2"/>
      <x:c r="G41" s="2"/>
      <x:c r="H41" s="2"/>
      <x:c r="I41" s="2"/>
      <x:c r="J41" s="2"/>
      <x:c r="K41" s="2"/>
      <x:c r="L41" s="2"/>
      <x:c r="M41" s="2"/>
      <x:c r="N41" s="2"/>
    </x:row>
    <x:row r="42" ht="23" customHeight="1">
      <x:c r="A42" s="2"/>
      <x:c r="B42" s="2"/>
      <x:c r="C42" s="18" t="str">
        <x:v>C Partial</x:v>
      </x:c>
      <x:c r="D42" s="18"/>
      <x:c r="E42" s="18"/>
      <x:c r="F42" s="18"/>
      <x:c r="G42" s="18"/>
      <x:c r="H42" s="18"/>
      <x:c r="I42" s="18"/>
      <x:c r="J42" s="18"/>
      <x:c r="K42" s="18"/>
      <x:c r="L42" s="18"/>
      <x:c r="M42" s="18"/>
      <x:c r="N42" s="18"/>
    </x:row>
    <x:row r="43" ht="23" customHeight="1">
      <x:c r="A43" s="2"/>
      <x:c r="B43" s="2"/>
      <x:c r="C43" s="2" t="str">
        <x:v>Initial real-property depreciation</x:v>
      </x:c>
      <x:c r="D43" s="28" t="n">
        <x:f>0</x:f>
        <x:v>0</x:v>
      </x:c>
      <x:c r="E43" s="29" t="n">
        <x:f>'CapEx'!$I$30/'Assumptions'!$E$24*IF(E$7=1,(12-'Assumptions'!$E$27+0.5)/12,MAX(0,MIN(1,'Assumptions'!$E$24-(12-'Assumptions'!$E$27+0.5)/12-(E$7-2))))</x:f>
        <x:v>40274.57264957265</x:v>
      </x:c>
      <x:c r="F43" s="29" t="n">
        <x:f>'CapEx'!$I$30/'Assumptions'!$E$24*IF(F$7=1,(12-'Assumptions'!$E$27+0.5)/12,MAX(0,MIN(1,'Assumptions'!$E$24-(12-'Assumptions'!$E$27+0.5)/12-(F$7-2))))</x:f>
        <x:v>42025.64102564102</x:v>
      </x:c>
      <x:c r="G43" s="29" t="n">
        <x:f>'CapEx'!$I$30/'Assumptions'!$E$24*IF(G$7=1,(12-'Assumptions'!$E$27+0.5)/12,MAX(0,MIN(1,'Assumptions'!$E$24-(12-'Assumptions'!$E$27+0.5)/12-(G$7-2))))</x:f>
        <x:v>42025.64102564102</x:v>
      </x:c>
      <x:c r="H43" s="29" t="n">
        <x:f>'CapEx'!$I$30/'Assumptions'!$E$24*IF(H$7=1,(12-'Assumptions'!$E$27+0.5)/12,MAX(0,MIN(1,'Assumptions'!$E$24-(12-'Assumptions'!$E$27+0.5)/12-(H$7-2))))</x:f>
        <x:v>42025.64102564102</x:v>
      </x:c>
      <x:c r="I43" s="29" t="n">
        <x:f>'CapEx'!$I$30/'Assumptions'!$E$24*IF(I$7=1,(12-'Assumptions'!$E$27+0.5)/12,MAX(0,MIN(1,'Assumptions'!$E$24-(12-'Assumptions'!$E$27+0.5)/12-(I$7-2))))</x:f>
        <x:v>42025.64102564102</x:v>
      </x:c>
      <x:c r="J43" s="29" t="n">
        <x:f>'CapEx'!$I$30/'Assumptions'!$E$24*IF(J$7=1,(12-'Assumptions'!$E$27+0.5)/12,MAX(0,MIN(1,'Assumptions'!$E$24-(12-'Assumptions'!$E$27+0.5)/12-(J$7-2))))</x:f>
        <x:v>42025.64102564102</x:v>
      </x:c>
      <x:c r="K43" s="29" t="n">
        <x:f>'CapEx'!$I$30/'Assumptions'!$E$24*IF(K$7=1,(12-'Assumptions'!$E$27+0.5)/12,MAX(0,MIN(1,'Assumptions'!$E$24-(12-'Assumptions'!$E$27+0.5)/12-(K$7-2))))</x:f>
        <x:v>42025.64102564102</x:v>
      </x:c>
      <x:c r="L43" s="29" t="n">
        <x:f>'CapEx'!$I$30/'Assumptions'!$E$24*IF(L$7=1,(12-'Assumptions'!$E$27+0.5)/12,MAX(0,MIN(1,'Assumptions'!$E$24-(12-'Assumptions'!$E$27+0.5)/12-(L$7-2))))</x:f>
        <x:v>42025.64102564102</x:v>
      </x:c>
      <x:c r="M43" s="29" t="n">
        <x:f>'CapEx'!$I$30/'Assumptions'!$E$24*IF(M$7=1,(12-'Assumptions'!$E$27+0.5)/12,MAX(0,MIN(1,'Assumptions'!$E$24-(12-'Assumptions'!$E$27+0.5)/12-(M$7-2))))</x:f>
        <x:v>42025.64102564102</x:v>
      </x:c>
      <x:c r="N43" s="29" t="n">
        <x:f>'CapEx'!$I$30/'Assumptions'!$E$24*IF(N$7=1,(12-'Assumptions'!$E$27+0.5)/12,MAX(0,MIN(1,'Assumptions'!$E$24-(12-'Assumptions'!$E$27+0.5)/12-(N$7-2))))</x:f>
        <x:v>42025.64102564102</x:v>
      </x:c>
    </x:row>
    <x:row r="44" ht="23" customHeight="1">
      <x:c r="A44" s="2"/>
      <x:c r="B44" s="2"/>
      <x:c r="C44" s="2" t="str">
        <x:v>Initial computer MACRS</x:v>
      </x:c>
      <x:c r="D44" s="28" t="n">
        <x:f>0</x:f>
        <x:v>0</x:v>
      </x:c>
      <x:c r="E44" s="29" t="n">
        <x:f>IF(E$7&lt;=6,'CapEx'!$I$31*INDEX('Assumptions'!$D$90:$I$90,1,E$7),0)</x:f>
        <x:v>3000</x:v>
      </x:c>
      <x:c r="F44" s="29" t="n">
        <x:f>IF(F$7&lt;=6,'CapEx'!$I$31*INDEX('Assumptions'!$D$90:$I$90,1,F$7),0)</x:f>
        <x:v>4800</x:v>
      </x:c>
      <x:c r="G44" s="29" t="n">
        <x:f>IF(G$7&lt;=6,'CapEx'!$I$31*INDEX('Assumptions'!$D$90:$I$90,1,G$7),0)</x:f>
        <x:v>2880</x:v>
      </x:c>
      <x:c r="H44" s="29" t="n">
        <x:f>IF(H$7&lt;=6,'CapEx'!$I$31*INDEX('Assumptions'!$D$90:$I$90,1,H$7),0)</x:f>
        <x:v>1728</x:v>
      </x:c>
      <x:c r="I44" s="29" t="n">
        <x:f>IF(I$7&lt;=6,'CapEx'!$I$31*INDEX('Assumptions'!$D$90:$I$90,1,I$7),0)</x:f>
        <x:v>1728</x:v>
      </x:c>
      <x:c r="J44" s="29" t="n">
        <x:f>IF(J$7&lt;=6,'CapEx'!$I$31*INDEX('Assumptions'!$D$90:$I$90,1,J$7),0)</x:f>
        <x:v>864</x:v>
      </x:c>
      <x:c r="K44" s="29" t="n">
        <x:f>IF(K$7&lt;=6,'CapEx'!$I$31*INDEX('Assumptions'!$D$90:$I$90,1,K$7),0)</x:f>
        <x:v>0</x:v>
      </x:c>
      <x:c r="L44" s="29" t="n">
        <x:f>IF(L$7&lt;=6,'CapEx'!$I$31*INDEX('Assumptions'!$D$90:$I$90,1,L$7),0)</x:f>
        <x:v>0</x:v>
      </x:c>
      <x:c r="M44" s="29" t="n">
        <x:f>IF(M$7&lt;=6,'CapEx'!$I$31*INDEX('Assumptions'!$D$90:$I$90,1,M$7),0)</x:f>
        <x:v>0</x:v>
      </x:c>
      <x:c r="N44" s="29" t="n">
        <x:f>IF(N$7&lt;=6,'CapEx'!$I$31*INDEX('Assumptions'!$D$90:$I$90,1,N$7),0)</x:f>
        <x:v>0</x:v>
      </x:c>
    </x:row>
    <x:row r="45" ht="23" customHeight="1">
      <x:c r="A45" s="2"/>
      <x:c r="B45" s="2"/>
      <x:c r="C45" s="2" t="str">
        <x:v>Training deduction</x:v>
      </x:c>
      <x:c r="D45" s="28" t="n">
        <x:f>0</x:f>
        <x:v>0</x:v>
      </x:c>
      <x:c r="E45" s="29" t="n">
        <x:f>'CapEx'!$I$32</x:f>
        <x:v>15000</x:v>
      </x:c>
      <x:c r="F45" s="28" t="n">
        <x:f>0</x:f>
        <x:v>0</x:v>
      </x:c>
      <x:c r="G45" s="28" t="n">
        <x:f>0</x:f>
        <x:v>0</x:v>
      </x:c>
      <x:c r="H45" s="28" t="n">
        <x:f>0</x:f>
        <x:v>0</x:v>
      </x:c>
      <x:c r="I45" s="28" t="n">
        <x:f>0</x:f>
        <x:v>0</x:v>
      </x:c>
      <x:c r="J45" s="28" t="n">
        <x:f>0</x:f>
        <x:v>0</x:v>
      </x:c>
      <x:c r="K45" s="28" t="n">
        <x:f>0</x:f>
        <x:v>0</x:v>
      </x:c>
      <x:c r="L45" s="28" t="n">
        <x:f>0</x:f>
        <x:v>0</x:v>
      </x:c>
      <x:c r="M45" s="28" t="n">
        <x:f>0</x:f>
        <x:v>0</x:v>
      </x:c>
      <x:c r="N45" s="28" t="n">
        <x:f>0</x:f>
        <x:v>0</x:v>
      </x:c>
    </x:row>
    <x:row r="46" ht="23" customHeight="1">
      <x:c r="A46" s="2"/>
      <x:c r="B46" s="2"/>
      <x:c r="C46" s="2" t="str">
        <x:v>First sustaining capital addition</x:v>
      </x:c>
      <x:c r="D46" s="28" t="n">
        <x:f>0</x:f>
        <x:v>0</x:v>
      </x:c>
      <x:c r="E46" s="29" t="n">
        <x:f>IF(AND('Assumptions'!$G$54&gt;0,E$7='Assumptions'!$G$54),'Assumptions'!$G$53*(1+'Assumptions'!$E$20)^(E$7-1),0)</x:f>
        <x:v>0</x:v>
      </x:c>
      <x:c r="F46" s="29" t="n">
        <x:f>IF(AND('Assumptions'!$G$54&gt;0,F$7='Assumptions'!$G$54),'Assumptions'!$G$53*(1+'Assumptions'!$E$20)^(F$7-1),0)</x:f>
        <x:v>0</x:v>
      </x:c>
      <x:c r="G46" s="29" t="n">
        <x:f>IF(AND('Assumptions'!$G$54&gt;0,G$7='Assumptions'!$G$54),'Assumptions'!$G$53*(1+'Assumptions'!$E$20)^(G$7-1),0)</x:f>
        <x:v>0</x:v>
      </x:c>
      <x:c r="H46" s="29" t="n">
        <x:f>IF(AND('Assumptions'!$G$54&gt;0,H$7='Assumptions'!$G$54),'Assumptions'!$G$53*(1+'Assumptions'!$E$20)^(H$7-1),0)</x:f>
        <x:v>0</x:v>
      </x:c>
      <x:c r="I46" s="29" t="n">
        <x:f>IF(AND('Assumptions'!$G$54&gt;0,I$7='Assumptions'!$G$54),'Assumptions'!$G$53*(1+'Assumptions'!$E$20)^(I$7-1),0)</x:f>
        <x:v>551906.4453124998</x:v>
      </x:c>
      <x:c r="J46" s="29" t="n">
        <x:f>IF(AND('Assumptions'!$G$54&gt;0,J$7='Assumptions'!$G$54),'Assumptions'!$G$53*(1+'Assumptions'!$E$20)^(J$7-1),0)</x:f>
        <x:v>0</x:v>
      </x:c>
      <x:c r="K46" s="29" t="n">
        <x:f>IF(AND('Assumptions'!$G$54&gt;0,K$7='Assumptions'!$G$54),'Assumptions'!$G$53*(1+'Assumptions'!$E$20)^(K$7-1),0)</x:f>
        <x:v>0</x:v>
      </x:c>
      <x:c r="L46" s="29" t="n">
        <x:f>IF(AND('Assumptions'!$G$54&gt;0,L$7='Assumptions'!$G$54),'Assumptions'!$G$53*(1+'Assumptions'!$E$20)^(L$7-1),0)</x:f>
        <x:v>0</x:v>
      </x:c>
      <x:c r="M46" s="29" t="n">
        <x:f>IF(AND('Assumptions'!$G$54&gt;0,M$7='Assumptions'!$G$54),'Assumptions'!$G$53*(1+'Assumptions'!$E$20)^(M$7-1),0)</x:f>
        <x:v>0</x:v>
      </x:c>
      <x:c r="N46" s="29" t="n">
        <x:f>IF(AND('Assumptions'!$G$54&gt;0,N$7='Assumptions'!$G$54),'Assumptions'!$G$53*(1+'Assumptions'!$E$20)^(N$7-1),0)</x:f>
        <x:v>0</x:v>
      </x:c>
    </x:row>
    <x:row r="47" ht="23" customHeight="1">
      <x:c r="A47" s="2"/>
      <x:c r="B47" s="2"/>
      <x:c r="C47" s="2" t="str">
        <x:v>Second sustaining capital addition</x:v>
      </x:c>
      <x:c r="D47" s="28" t="n">
        <x:f>0</x:f>
        <x:v>0</x:v>
      </x:c>
      <x:c r="E47" s="29" t="n">
        <x:f>IF(AND('Assumptions'!$G$56&gt;0,E$7='Assumptions'!$G$56),'Assumptions'!$G$55*(1+'Assumptions'!$E$20)^(E$7-1),0)</x:f>
        <x:v>0</x:v>
      </x:c>
      <x:c r="F47" s="29" t="n">
        <x:f>IF(AND('Assumptions'!$G$56&gt;0,F$7='Assumptions'!$G$56),'Assumptions'!$G$55*(1+'Assumptions'!$E$20)^(F$7-1),0)</x:f>
        <x:v>0</x:v>
      </x:c>
      <x:c r="G47" s="29" t="n">
        <x:f>IF(AND('Assumptions'!$G$56&gt;0,G$7='Assumptions'!$G$56),'Assumptions'!$G$55*(1+'Assumptions'!$E$20)^(G$7-1),0)</x:f>
        <x:v>0</x:v>
      </x:c>
      <x:c r="H47" s="29" t="n">
        <x:f>IF(AND('Assumptions'!$G$56&gt;0,H$7='Assumptions'!$G$56),'Assumptions'!$G$55*(1+'Assumptions'!$E$20)^(H$7-1),0)</x:f>
        <x:v>0</x:v>
      </x:c>
      <x:c r="I47" s="29" t="n">
        <x:f>IF(AND('Assumptions'!$G$56&gt;0,I$7='Assumptions'!$G$56),'Assumptions'!$G$55*(1+'Assumptions'!$E$20)^(I$7-1),0)</x:f>
        <x:v>0</x:v>
      </x:c>
      <x:c r="J47" s="29" t="n">
        <x:f>IF(AND('Assumptions'!$G$56&gt;0,J$7='Assumptions'!$G$56),'Assumptions'!$G$55*(1+'Assumptions'!$E$20)^(J$7-1),0)</x:f>
        <x:v>0</x:v>
      </x:c>
      <x:c r="K47" s="29" t="n">
        <x:f>IF(AND('Assumptions'!$G$56&gt;0,K$7='Assumptions'!$G$56),'Assumptions'!$G$55*(1+'Assumptions'!$E$20)^(K$7-1),0)</x:f>
        <x:v>0</x:v>
      </x:c>
      <x:c r="L47" s="29" t="n">
        <x:f>IF(AND('Assumptions'!$G$56&gt;0,L$7='Assumptions'!$G$56),'Assumptions'!$G$55*(1+'Assumptions'!$E$20)^(L$7-1),0)</x:f>
        <x:v>0</x:v>
      </x:c>
      <x:c r="M47" s="29" t="n">
        <x:f>IF(AND('Assumptions'!$G$56&gt;0,M$7='Assumptions'!$G$56),'Assumptions'!$G$55*(1+'Assumptions'!$E$20)^(M$7-1),0)</x:f>
        <x:v>0</x:v>
      </x:c>
      <x:c r="N47" s="29" t="n">
        <x:f>IF(AND('Assumptions'!$G$56&gt;0,N$7='Assumptions'!$G$56),'Assumptions'!$G$55*(1+'Assumptions'!$E$20)^(N$7-1),0)</x:f>
        <x:v>0</x:v>
      </x:c>
    </x:row>
    <x:row r="48" ht="23" customHeight="1">
      <x:c r="A48" s="2"/>
      <x:c r="B48" s="2"/>
      <x:c r="C48" s="2" t="str">
        <x:v>Total sustaining additions</x:v>
      </x:c>
      <x:c r="D48" s="28" t="n">
        <x:f>SUM(D46:D47)</x:f>
        <x:v>0</x:v>
      </x:c>
      <x:c r="E48" s="28" t="n">
        <x:f>SUM(E46:E47)</x:f>
        <x:v>0</x:v>
      </x:c>
      <x:c r="F48" s="28" t="n">
        <x:f>SUM(F46:F47)</x:f>
        <x:v>0</x:v>
      </x:c>
      <x:c r="G48" s="28" t="n">
        <x:f>SUM(G46:G47)</x:f>
        <x:v>0</x:v>
      </x:c>
      <x:c r="H48" s="28" t="n">
        <x:f>SUM(H46:H47)</x:f>
        <x:v>0</x:v>
      </x:c>
      <x:c r="I48" s="28" t="n">
        <x:f>SUM(I46:I47)</x:f>
        <x:v>551906.4453124998</x:v>
      </x:c>
      <x:c r="J48" s="28" t="n">
        <x:f>SUM(J46:J47)</x:f>
        <x:v>0</x:v>
      </x:c>
      <x:c r="K48" s="28" t="n">
        <x:f>SUM(K46:K47)</x:f>
        <x:v>0</x:v>
      </x:c>
      <x:c r="L48" s="28" t="n">
        <x:f>SUM(L46:L47)</x:f>
        <x:v>0</x:v>
      </x:c>
      <x:c r="M48" s="28" t="n">
        <x:f>SUM(M46:M47)</x:f>
        <x:v>0</x:v>
      </x:c>
      <x:c r="N48" s="28" t="n">
        <x:f>SUM(N46:N47)</x:f>
        <x:v>0</x:v>
      </x:c>
    </x:row>
    <x:row r="49" ht="23" customHeight="1">
      <x:c r="A49" s="2"/>
      <x:c r="B49" s="2"/>
      <x:c r="C49" s="2" t="str">
        <x:v>First-event depreciation</x:v>
      </x:c>
      <x:c r="D49" s="28" t="n">
        <x:f>0</x:f>
        <x:v>0</x:v>
      </x:c>
      <x:c r="E49" s="29" t="n">
        <x:f>IF(OR('Assumptions'!$G$54=0,E$7&lt;'Assumptions'!$G$54),0,SUM($E$46:$N$46)/'Assumptions'!$E$24*IF(E$7='Assumptions'!$G$54,(12-'Assumptions'!$E$28+0.5)/12,MAX(0,MIN(1,'Assumptions'!$E$24-(12-'Assumptions'!$E$28+0.5)/12-(E$7-'Assumptions'!$G$54-1)))))</x:f>
        <x:v>0</x:v>
      </x:c>
      <x:c r="F49" s="29" t="n">
        <x:f>IF(OR('Assumptions'!$G$54=0,F$7&lt;'Assumptions'!$G$54),0,SUM($E$46:$N$46)/'Assumptions'!$E$24*IF(F$7='Assumptions'!$G$54,(12-'Assumptions'!$E$28+0.5)/12,MAX(0,MIN(1,'Assumptions'!$E$24-(12-'Assumptions'!$E$28+0.5)/12-(F$7-'Assumptions'!$G$54-1)))))</x:f>
        <x:v>0</x:v>
      </x:c>
      <x:c r="G49" s="29" t="n">
        <x:f>IF(OR('Assumptions'!$G$54=0,G$7&lt;'Assumptions'!$G$54),0,SUM($E$46:$N$46)/'Assumptions'!$E$24*IF(G$7='Assumptions'!$G$54,(12-'Assumptions'!$E$28+0.5)/12,MAX(0,MIN(1,'Assumptions'!$E$24-(12-'Assumptions'!$E$28+0.5)/12-(G$7-'Assumptions'!$G$54-1)))))</x:f>
        <x:v>0</x:v>
      </x:c>
      <x:c r="H49" s="29" t="n">
        <x:f>IF(OR('Assumptions'!$G$54=0,H$7&lt;'Assumptions'!$G$54),0,SUM($E$46:$N$46)/'Assumptions'!$E$24*IF(H$7='Assumptions'!$G$54,(12-'Assumptions'!$E$28+0.5)/12,MAX(0,MIN(1,'Assumptions'!$E$24-(12-'Assumptions'!$E$28+0.5)/12-(H$7-'Assumptions'!$G$54-1)))))</x:f>
        <x:v>0</x:v>
      </x:c>
      <x:c r="I49" s="29" t="n">
        <x:f>IF(OR('Assumptions'!$G$54=0,I$7&lt;'Assumptions'!$G$54),0,SUM($E$46:$N$46)/'Assumptions'!$E$24*IF(I$7='Assumptions'!$G$54,(12-'Assumptions'!$E$28+0.5)/12,MAX(0,MIN(1,'Assumptions'!$E$24-(12-'Assumptions'!$E$28+0.5)/12-(I$7-'Assumptions'!$G$54-1)))))</x:f>
        <x:v>589.64363815438</x:v>
      </x:c>
      <x:c r="J49" s="29" t="n">
        <x:f>IF(OR('Assumptions'!$G$54=0,J$7&lt;'Assumptions'!$G$54),0,SUM($E$46:$N$46)/'Assumptions'!$E$24*IF(J$7='Assumptions'!$G$54,(12-'Assumptions'!$E$28+0.5)/12,MAX(0,MIN(1,'Assumptions'!$E$24-(12-'Assumptions'!$E$28+0.5)/12-(J$7-'Assumptions'!$G$54-1)))))</x:f>
        <x:v>14151.447315705122</x:v>
      </x:c>
      <x:c r="K49" s="29" t="n">
        <x:f>IF(OR('Assumptions'!$G$54=0,K$7&lt;'Assumptions'!$G$54),0,SUM($E$46:$N$46)/'Assumptions'!$E$24*IF(K$7='Assumptions'!$G$54,(12-'Assumptions'!$E$28+0.5)/12,MAX(0,MIN(1,'Assumptions'!$E$24-(12-'Assumptions'!$E$28+0.5)/12-(K$7-'Assumptions'!$G$54-1)))))</x:f>
        <x:v>14151.447315705122</x:v>
      </x:c>
      <x:c r="L49" s="29" t="n">
        <x:f>IF(OR('Assumptions'!$G$54=0,L$7&lt;'Assumptions'!$G$54),0,SUM($E$46:$N$46)/'Assumptions'!$E$24*IF(L$7='Assumptions'!$G$54,(12-'Assumptions'!$E$28+0.5)/12,MAX(0,MIN(1,'Assumptions'!$E$24-(12-'Assumptions'!$E$28+0.5)/12-(L$7-'Assumptions'!$G$54-1)))))</x:f>
        <x:v>14151.447315705122</x:v>
      </x:c>
      <x:c r="M49" s="29" t="n">
        <x:f>IF(OR('Assumptions'!$G$54=0,M$7&lt;'Assumptions'!$G$54),0,SUM($E$46:$N$46)/'Assumptions'!$E$24*IF(M$7='Assumptions'!$G$54,(12-'Assumptions'!$E$28+0.5)/12,MAX(0,MIN(1,'Assumptions'!$E$24-(12-'Assumptions'!$E$28+0.5)/12-(M$7-'Assumptions'!$G$54-1)))))</x:f>
        <x:v>14151.447315705122</x:v>
      </x:c>
      <x:c r="N49" s="29" t="n">
        <x:f>IF(OR('Assumptions'!$G$54=0,N$7&lt;'Assumptions'!$G$54),0,SUM($E$46:$N$46)/'Assumptions'!$E$24*IF(N$7='Assumptions'!$G$54,(12-'Assumptions'!$E$28+0.5)/12,MAX(0,MIN(1,'Assumptions'!$E$24-(12-'Assumptions'!$E$28+0.5)/12-(N$7-'Assumptions'!$G$54-1)))))</x:f>
        <x:v>14151.447315705122</x:v>
      </x:c>
    </x:row>
    <x:row r="50" ht="23" customHeight="1">
      <x:c r="A50" s="2"/>
      <x:c r="B50" s="2"/>
      <x:c r="C50" s="2" t="str">
        <x:v>Second-event depreciation</x:v>
      </x:c>
      <x:c r="D50" s="28" t="n">
        <x:f>0</x:f>
        <x:v>0</x:v>
      </x:c>
      <x:c r="E50" s="29" t="n">
        <x:f>IF(OR('Assumptions'!$G$56=0,E$7&lt;'Assumptions'!$G$56),0,SUM($E$47:$N$47)/'Assumptions'!$E$24*IF(E$7='Assumptions'!$G$56,(12-'Assumptions'!$E$28+0.5)/12,MAX(0,MIN(1,'Assumptions'!$E$24-(12-'Assumptions'!$E$28+0.5)/12-(E$7-'Assumptions'!$G$56-1)))))</x:f>
        <x:v>0</x:v>
      </x:c>
      <x:c r="F50" s="29" t="n">
        <x:f>IF(OR('Assumptions'!$G$56=0,F$7&lt;'Assumptions'!$G$56),0,SUM($E$47:$N$47)/'Assumptions'!$E$24*IF(F$7='Assumptions'!$G$56,(12-'Assumptions'!$E$28+0.5)/12,MAX(0,MIN(1,'Assumptions'!$E$24-(12-'Assumptions'!$E$28+0.5)/12-(F$7-'Assumptions'!$G$56-1)))))</x:f>
        <x:v>0</x:v>
      </x:c>
      <x:c r="G50" s="29" t="n">
        <x:f>IF(OR('Assumptions'!$G$56=0,G$7&lt;'Assumptions'!$G$56),0,SUM($E$47:$N$47)/'Assumptions'!$E$24*IF(G$7='Assumptions'!$G$56,(12-'Assumptions'!$E$28+0.5)/12,MAX(0,MIN(1,'Assumptions'!$E$24-(12-'Assumptions'!$E$28+0.5)/12-(G$7-'Assumptions'!$G$56-1)))))</x:f>
        <x:v>0</x:v>
      </x:c>
      <x:c r="H50" s="29" t="n">
        <x:f>IF(OR('Assumptions'!$G$56=0,H$7&lt;'Assumptions'!$G$56),0,SUM($E$47:$N$47)/'Assumptions'!$E$24*IF(H$7='Assumptions'!$G$56,(12-'Assumptions'!$E$28+0.5)/12,MAX(0,MIN(1,'Assumptions'!$E$24-(12-'Assumptions'!$E$28+0.5)/12-(H$7-'Assumptions'!$G$56-1)))))</x:f>
        <x:v>0</x:v>
      </x:c>
      <x:c r="I50" s="29" t="n">
        <x:f>IF(OR('Assumptions'!$G$56=0,I$7&lt;'Assumptions'!$G$56),0,SUM($E$47:$N$47)/'Assumptions'!$E$24*IF(I$7='Assumptions'!$G$56,(12-'Assumptions'!$E$28+0.5)/12,MAX(0,MIN(1,'Assumptions'!$E$24-(12-'Assumptions'!$E$28+0.5)/12-(I$7-'Assumptions'!$G$56-1)))))</x:f>
        <x:v>0</x:v>
      </x:c>
      <x:c r="J50" s="29" t="n">
        <x:f>IF(OR('Assumptions'!$G$56=0,J$7&lt;'Assumptions'!$G$56),0,SUM($E$47:$N$47)/'Assumptions'!$E$24*IF(J$7='Assumptions'!$G$56,(12-'Assumptions'!$E$28+0.5)/12,MAX(0,MIN(1,'Assumptions'!$E$24-(12-'Assumptions'!$E$28+0.5)/12-(J$7-'Assumptions'!$G$56-1)))))</x:f>
        <x:v>0</x:v>
      </x:c>
      <x:c r="K50" s="29" t="n">
        <x:f>IF(OR('Assumptions'!$G$56=0,K$7&lt;'Assumptions'!$G$56),0,SUM($E$47:$N$47)/'Assumptions'!$E$24*IF(K$7='Assumptions'!$G$56,(12-'Assumptions'!$E$28+0.5)/12,MAX(0,MIN(1,'Assumptions'!$E$24-(12-'Assumptions'!$E$28+0.5)/12-(K$7-'Assumptions'!$G$56-1)))))</x:f>
        <x:v>0</x:v>
      </x:c>
      <x:c r="L50" s="29" t="n">
        <x:f>IF(OR('Assumptions'!$G$56=0,L$7&lt;'Assumptions'!$G$56),0,SUM($E$47:$N$47)/'Assumptions'!$E$24*IF(L$7='Assumptions'!$G$56,(12-'Assumptions'!$E$28+0.5)/12,MAX(0,MIN(1,'Assumptions'!$E$24-(12-'Assumptions'!$E$28+0.5)/12-(L$7-'Assumptions'!$G$56-1)))))</x:f>
        <x:v>0</x:v>
      </x:c>
      <x:c r="M50" s="29" t="n">
        <x:f>IF(OR('Assumptions'!$G$56=0,M$7&lt;'Assumptions'!$G$56),0,SUM($E$47:$N$47)/'Assumptions'!$E$24*IF(M$7='Assumptions'!$G$56,(12-'Assumptions'!$E$28+0.5)/12,MAX(0,MIN(1,'Assumptions'!$E$24-(12-'Assumptions'!$E$28+0.5)/12-(M$7-'Assumptions'!$G$56-1)))))</x:f>
        <x:v>0</x:v>
      </x:c>
      <x:c r="N50" s="29" t="n">
        <x:f>IF(OR('Assumptions'!$G$56=0,N$7&lt;'Assumptions'!$G$56),0,SUM($E$47:$N$47)/'Assumptions'!$E$24*IF(N$7='Assumptions'!$G$56,(12-'Assumptions'!$E$28+0.5)/12,MAX(0,MIN(1,'Assumptions'!$E$24-(12-'Assumptions'!$E$28+0.5)/12-(N$7-'Assumptions'!$G$56-1)))))</x:f>
        <x:v>0</x:v>
      </x:c>
    </x:row>
    <x:row r="51" ht="23" customHeight="1">
      <x:c r="A51" s="2"/>
      <x:c r="B51" s="2"/>
      <x:c r="C51" s="2" t="str">
        <x:v>Total tax depreciation</x:v>
      </x:c>
      <x:c r="D51" s="28" t="n">
        <x:f>SUM(D43:D44,D49:D50)</x:f>
        <x:v>0</x:v>
      </x:c>
      <x:c r="E51" s="28" t="n">
        <x:f>SUM(E43:E44,E49:E50)</x:f>
        <x:v>43274.57264957265</x:v>
      </x:c>
      <x:c r="F51" s="28" t="n">
        <x:f>SUM(F43:F44,F49:F50)</x:f>
        <x:v>46825.64102564102</x:v>
      </x:c>
      <x:c r="G51" s="28" t="n">
        <x:f>SUM(G43:G44,G49:G50)</x:f>
        <x:v>44905.64102564102</x:v>
      </x:c>
      <x:c r="H51" s="28" t="n">
        <x:f>SUM(H43:H44,H49:H50)</x:f>
        <x:v>43753.64102564102</x:v>
      </x:c>
      <x:c r="I51" s="28" t="n">
        <x:f>SUM(I43:I44,I49:I50)</x:f>
        <x:v>44343.284663795406</x:v>
      </x:c>
      <x:c r="J51" s="28" t="n">
        <x:f>SUM(J43:J44,J49:J50)</x:f>
        <x:v>57041.08834134614</x:v>
      </x:c>
      <x:c r="K51" s="28" t="n">
        <x:f>SUM(K43:K44,K49:K50)</x:f>
        <x:v>56177.08834134614</x:v>
      </x:c>
      <x:c r="L51" s="28" t="n">
        <x:f>SUM(L43:L44,L49:L50)</x:f>
        <x:v>56177.08834134614</x:v>
      </x:c>
      <x:c r="M51" s="28" t="n">
        <x:f>SUM(M43:M44,M49:M50)</x:f>
        <x:v>56177.08834134614</x:v>
      </x:c>
      <x:c r="N51" s="28" t="n">
        <x:f>SUM(N43:N44,N49:N50)</x:f>
        <x:v>56177.08834134614</x:v>
      </x:c>
    </x:row>
    <x:row r="52" ht="23" customHeight="1">
      <x:c r="A52" s="2"/>
      <x:c r="B52" s="2"/>
      <x:c r="C52" s="2" t="str">
        <x:v>Initial asset ending tax basis</x:v>
      </x:c>
      <x:c r="D52" s="29" t="n">
        <x:f>SUM('CapEx'!I30:I31)</x:f>
        <x:v>1654000</x:v>
      </x:c>
      <x:c r="E52" s="28" t="n">
        <x:f>D52-SUM(E43:E44)</x:f>
        <x:v>1610725.4273504273</x:v>
      </x:c>
      <x:c r="F52" s="28" t="n">
        <x:f>E52-SUM(F43:F44)</x:f>
        <x:v>1563899.7863247863</x:v>
      </x:c>
      <x:c r="G52" s="28" t="n">
        <x:f>F52-SUM(G43:G44)</x:f>
        <x:v>1518994.1452991453</x:v>
      </x:c>
      <x:c r="H52" s="28" t="n">
        <x:f>G52-SUM(H43:H44)</x:f>
        <x:v>1475240.5042735043</x:v>
      </x:c>
      <x:c r="I52" s="28" t="n">
        <x:f>H52-SUM(I43:I44)</x:f>
        <x:v>1431486.8632478632</x:v>
      </x:c>
      <x:c r="J52" s="28" t="n">
        <x:f>I52-SUM(J43:J44)</x:f>
        <x:v>1388597.2222222222</x:v>
      </x:c>
      <x:c r="K52" s="28" t="n">
        <x:f>J52-SUM(K43:K44)</x:f>
        <x:v>1346571.5811965812</x:v>
      </x:c>
      <x:c r="L52" s="28" t="n">
        <x:f>K52-SUM(L43:L44)</x:f>
        <x:v>1304545.9401709402</x:v>
      </x:c>
      <x:c r="M52" s="28" t="n">
        <x:f>L52-SUM(M43:M44)</x:f>
        <x:v>1262520.2991452992</x:v>
      </x:c>
      <x:c r="N52" s="28" t="n">
        <x:f>M52-SUM(N43:N44)</x:f>
        <x:v>1220494.6581196582</x:v>
      </x:c>
    </x:row>
    <x:row r="53" ht="23" customHeight="1">
      <x:c r="A53" s="2"/>
      <x:c r="B53" s="2"/>
      <x:c r="C53" s="2" t="str">
        <x:v>Sustaining ending tax basis</x:v>
      </x:c>
      <x:c r="D53" s="28" t="n">
        <x:f>0</x:f>
        <x:v>0</x:v>
      </x:c>
      <x:c r="E53" s="28" t="n">
        <x:f>D53+E48-SUM(E49:E50)</x:f>
        <x:v>0</x:v>
      </x:c>
      <x:c r="F53" s="28" t="n">
        <x:f>E53+F48-SUM(F49:F50)</x:f>
        <x:v>0</x:v>
      </x:c>
      <x:c r="G53" s="28" t="n">
        <x:f>F53+G48-SUM(G49:G50)</x:f>
        <x:v>0</x:v>
      </x:c>
      <x:c r="H53" s="28" t="n">
        <x:f>G53+H48-SUM(H49:H50)</x:f>
        <x:v>0</x:v>
      </x:c>
      <x:c r="I53" s="28" t="n">
        <x:f>H53+I48-SUM(I49:I50)</x:f>
        <x:v>551316.8016743454</x:v>
      </x:c>
      <x:c r="J53" s="28" t="n">
        <x:f>I53+J48-SUM(J49:J50)</x:f>
        <x:v>537165.3543586403</x:v>
      </x:c>
      <x:c r="K53" s="28" t="n">
        <x:f>J53+K48-SUM(K49:K50)</x:f>
        <x:v>523013.90704293514</x:v>
      </x:c>
      <x:c r="L53" s="28" t="n">
        <x:f>K53+L48-SUM(L49:L50)</x:f>
        <x:v>508862.45972723</x:v>
      </x:c>
      <x:c r="M53" s="28" t="n">
        <x:f>L53+M48-SUM(M49:M50)</x:f>
        <x:v>494711.0124115249</x:v>
      </x:c>
      <x:c r="N53" s="28" t="n">
        <x:f>M53+N48-SUM(N49:N50)</x:f>
        <x:v>480559.56509581977</x:v>
      </x:c>
    </x:row>
    <x:row r="54" ht="23" customHeight="1">
      <x:c r="A54" s="2"/>
      <x:c r="B54" s="2"/>
      <x:c r="C54" s="2" t="str">
        <x:v>Reference initial book depreciation</x:v>
      </x:c>
      <x:c r="D54" s="28" t="n">
        <x:f>0</x:f>
        <x:v>0</x:v>
      </x:c>
      <x:c r="E54" s="29" t="n">
        <x:f>IF(E$7&lt;='Assumptions'!$E$23,'CapEx'!$I$30/'Assumptions'!$E$23,0)+IF(E$7&lt;='Assumptions'!$E$29,'CapEx'!$I$31/'Assumptions'!$E$29,0)</x:f>
        <x:v>84950</x:v>
      </x:c>
      <x:c r="F54" s="29" t="n">
        <x:f>IF(F$7&lt;='Assumptions'!$E$23,'CapEx'!$I$30/'Assumptions'!$E$23,0)+IF(F$7&lt;='Assumptions'!$E$29,'CapEx'!$I$31/'Assumptions'!$E$29,0)</x:f>
        <x:v>84950</x:v>
      </x:c>
      <x:c r="G54" s="29" t="n">
        <x:f>IF(G$7&lt;='Assumptions'!$E$23,'CapEx'!$I$30/'Assumptions'!$E$23,0)+IF(G$7&lt;='Assumptions'!$E$29,'CapEx'!$I$31/'Assumptions'!$E$29,0)</x:f>
        <x:v>84950</x:v>
      </x:c>
      <x:c r="H54" s="29" t="n">
        <x:f>IF(H$7&lt;='Assumptions'!$E$23,'CapEx'!$I$30/'Assumptions'!$E$23,0)+IF(H$7&lt;='Assumptions'!$E$29,'CapEx'!$I$31/'Assumptions'!$E$29,0)</x:f>
        <x:v>84950</x:v>
      </x:c>
      <x:c r="I54" s="29" t="n">
        <x:f>IF(I$7&lt;='Assumptions'!$E$23,'CapEx'!$I$30/'Assumptions'!$E$23,0)+IF(I$7&lt;='Assumptions'!$E$29,'CapEx'!$I$31/'Assumptions'!$E$29,0)</x:f>
        <x:v>84950</x:v>
      </x:c>
      <x:c r="J54" s="29" t="n">
        <x:f>IF(J$7&lt;='Assumptions'!$E$23,'CapEx'!$I$30/'Assumptions'!$E$23,0)+IF(J$7&lt;='Assumptions'!$E$29,'CapEx'!$I$31/'Assumptions'!$E$29,0)</x:f>
        <x:v>81950</x:v>
      </x:c>
      <x:c r="K54" s="29" t="n">
        <x:f>IF(K$7&lt;='Assumptions'!$E$23,'CapEx'!$I$30/'Assumptions'!$E$23,0)+IF(K$7&lt;='Assumptions'!$E$29,'CapEx'!$I$31/'Assumptions'!$E$29,0)</x:f>
        <x:v>81950</x:v>
      </x:c>
      <x:c r="L54" s="29" t="n">
        <x:f>IF(L$7&lt;='Assumptions'!$E$23,'CapEx'!$I$30/'Assumptions'!$E$23,0)+IF(L$7&lt;='Assumptions'!$E$29,'CapEx'!$I$31/'Assumptions'!$E$29,0)</x:f>
        <x:v>81950</x:v>
      </x:c>
      <x:c r="M54" s="29" t="n">
        <x:f>IF(M$7&lt;='Assumptions'!$E$23,'CapEx'!$I$30/'Assumptions'!$E$23,0)+IF(M$7&lt;='Assumptions'!$E$29,'CapEx'!$I$31/'Assumptions'!$E$29,0)</x:f>
        <x:v>81950</x:v>
      </x:c>
      <x:c r="N54" s="29" t="n">
        <x:f>IF(N$7&lt;='Assumptions'!$E$23,'CapEx'!$I$30/'Assumptions'!$E$23,0)+IF(N$7&lt;='Assumptions'!$E$29,'CapEx'!$I$31/'Assumptions'!$E$29,0)</x:f>
        <x:v>81950</x:v>
      </x:c>
    </x:row>
    <x:row r="55" ht="23" customHeight="1">
      <x:c r="A55" s="2"/>
      <x:c r="B55" s="2"/>
      <x:c r="C55" s="2"/>
      <x:c r="D55" s="2"/>
      <x:c r="E55" s="2"/>
      <x:c r="F55" s="2"/>
      <x:c r="G55" s="2"/>
      <x:c r="H55" s="2"/>
      <x:c r="I55" s="2"/>
      <x:c r="J55" s="2"/>
      <x:c r="K55" s="2"/>
      <x:c r="L55" s="2"/>
      <x:c r="M55" s="2"/>
      <x:c r="N55" s="2"/>
    </x:row>
    <x:row r="56" ht="23" customHeight="1">
      <x:c r="A56" s="2"/>
      <x:c r="B56" s="2"/>
      <x:c r="C56" s="2"/>
      <x:c r="D56" s="2"/>
      <x:c r="E56" s="2"/>
      <x:c r="F56" s="2"/>
      <x:c r="G56" s="2"/>
      <x:c r="H56" s="2"/>
      <x:c r="I56" s="2"/>
      <x:c r="J56" s="2"/>
      <x:c r="K56" s="2"/>
      <x:c r="L56" s="2"/>
      <x:c r="M56" s="2"/>
      <x:c r="N56" s="2"/>
    </x:row>
    <x:row r="57" ht="23" customHeight="1">
      <x:c r="A57" s="2"/>
      <x:c r="B57" s="2"/>
      <x:c r="C57" s="5" t="str">
        <x:v>Initial real assets use mid-month straight-line depreciation. Sustaining assets use their event month.</x:v>
      </x:c>
      <x:c r="D57" s="2"/>
      <x:c r="E57" s="2"/>
      <x:c r="F57" s="2"/>
      <x:c r="G57" s="2"/>
      <x:c r="H57" s="2"/>
      <x:c r="I57" s="2"/>
      <x:c r="J57" s="2"/>
      <x:c r="K57" s="2"/>
      <x:c r="L57" s="2"/>
      <x:c r="M57" s="2"/>
      <x:c r="N57" s="2"/>
    </x:row>
    <x:row r="58" ht="23" customHeight="1">
      <x:c r="A58" s="2"/>
      <x:c r="B58" s="2"/>
      <x:c r="C58" s="5" t="str">
        <x:v>Computer tax percentages assume 5-year MACRS, half-year convention and no bonus depreciation.</x:v>
      </x:c>
      <x:c r="D58" s="2"/>
      <x:c r="E58" s="2"/>
      <x:c r="F58" s="2"/>
      <x:c r="G58" s="2"/>
      <x:c r="H58" s="2"/>
      <x:c r="I58" s="2"/>
      <x:c r="J58" s="2"/>
      <x:c r="K58" s="2"/>
      <x:c r="L58" s="2"/>
      <x:c r="M58" s="2"/>
      <x:c r="N58" s="2"/>
    </x:row>
    <x:row r="59" ht="23" customHeight="1">
      <x:c r="A59" s="2"/>
      <x:c r="B59" s="2"/>
      <x:c r="C59" s="5" t="str">
        <x:v>No Section 179 election is modeled. Existing asset tax basis is assumed zero.</x:v>
      </x:c>
      <x:c r="D59" s="2"/>
      <x:c r="E59" s="2"/>
      <x:c r="F59" s="2"/>
      <x:c r="G59" s="2"/>
      <x:c r="H59" s="2"/>
      <x:c r="I59" s="2"/>
      <x:c r="J59" s="2"/>
      <x:c r="K59" s="2"/>
      <x:c r="L59" s="2"/>
      <x:c r="M59" s="2"/>
      <x:c r="N59" s="2"/>
    </x:row>
    <x:row r="60" ht="23" customHeight="1">
      <x:c r="A60" s="2"/>
      <x:c r="B60" s="2"/>
      <x:c r="C60" s="5" t="str">
        <x:v>Training is deducted in year 1. All tax deductions assume sufficient owner taxable income.</x:v>
      </x:c>
      <x:c r="D60" s="2"/>
      <x:c r="E60" s="2"/>
      <x:c r="F60" s="2"/>
      <x:c r="G60" s="2"/>
      <x:c r="H60" s="2"/>
      <x:c r="I60" s="2"/>
      <x:c r="J60" s="2"/>
      <x:c r="K60" s="2"/>
      <x:c r="L60" s="2"/>
      <x:c r="M60" s="2"/>
      <x:c r="N60" s="2"/>
    </x:row>
    <x:row r="61" ht="23" customHeight="1">
      <x:c r="A61" s="2"/>
      <x:c r="B61" s="2"/>
      <x:c r="C61" s="5" t="str">
        <x:v>Remaining basis at year 10 is neither sale proceeds nor an automatic tax deduction.</x:v>
      </x:c>
      <x:c r="D61" s="2"/>
      <x:c r="E61" s="2"/>
      <x:c r="F61" s="2"/>
      <x:c r="G61" s="2"/>
      <x:c r="H61" s="2"/>
      <x:c r="I61" s="2"/>
      <x:c r="J61" s="2"/>
      <x:c r="K61" s="2"/>
      <x:c r="L61" s="2"/>
      <x:c r="M61" s="2"/>
      <x:c r="N61" s="2"/>
    </x:row>
    <x:row r="62" ht="23" customHeight="1">
      <x:c r="A62" s="2"/>
      <x:c r="B62" s="2"/>
      <x:c r="C62" s="5" t="str">
        <x:v>Book depreciation is a reference only and does not feed the investment cash flows.</x:v>
      </x:c>
      <x:c r="D62" s="2"/>
      <x:c r="E62" s="2"/>
      <x:c r="F62" s="2"/>
      <x:c r="G62" s="2"/>
      <x:c r="H62" s="2"/>
      <x:c r="I62" s="2"/>
      <x:c r="J62" s="2"/>
      <x:c r="K62" s="2"/>
      <x:c r="L62" s="2"/>
      <x:c r="M62" s="2"/>
      <x:c r="N62" s="2"/>
    </x:row>
    <x:row r="63" ht="23" customHeight="1">
      <x:c r="A63" s="2"/>
      <x:c r="B63" s="2"/>
      <x:c r="C63" s="2"/>
      <x:c r="D63" s="2"/>
      <x:c r="E63" s="2"/>
      <x:c r="F63" s="2"/>
      <x:c r="G63" s="2"/>
      <x:c r="H63" s="2"/>
      <x:c r="I63" s="2"/>
      <x:c r="J63" s="2"/>
      <x:c r="K63" s="2"/>
      <x:c r="L63" s="2"/>
      <x:c r="M63" s="2"/>
      <x:c r="N63" s="2"/>
    </x:row>
    <x:row r="64" ht="23" customHeight="1">
      <x:c r="A64" s="2"/>
      <x:c r="B64" s="2"/>
      <x:c r="C64" s="2"/>
      <x:c r="D64" s="2"/>
      <x:c r="E64" s="2"/>
      <x:c r="F64" s="2"/>
      <x:c r="G64" s="2"/>
      <x:c r="H64" s="2"/>
      <x:c r="I64" s="2"/>
      <x:c r="J64" s="2"/>
      <x:c r="K64" s="2"/>
      <x:c r="L64" s="2"/>
      <x:c r="M64" s="2"/>
      <x:c r="N64" s="2"/>
    </x:row>
    <x:row r="65" ht="23" customHeight="1">
      <x:c r="A65" s="2"/>
      <x:c r="B65" s="2"/>
      <x:c r="C65" s="2"/>
      <x:c r="D65" s="2"/>
      <x:c r="E65" s="2"/>
      <x:c r="F65" s="2"/>
      <x:c r="G65" s="2"/>
      <x:c r="H65" s="2"/>
      <x:c r="I65" s="2"/>
      <x:c r="J65" s="2"/>
      <x:c r="K65" s="2"/>
      <x:c r="L65" s="2"/>
      <x:c r="M65" s="2"/>
      <x:c r="N65" s="2"/>
    </x:row>
    <x:row r="66" ht="23" customHeight="1">
      <x:c r="A66" s="2"/>
      <x:c r="B66" s="2"/>
      <x:c r="C66" s="2"/>
      <x:c r="D66" s="2"/>
      <x:c r="E66" s="2"/>
      <x:c r="F66" s="2"/>
      <x:c r="G66" s="2"/>
      <x:c r="H66" s="2"/>
      <x:c r="I66" s="2"/>
      <x:c r="J66" s="2"/>
      <x:c r="K66" s="2"/>
      <x:c r="L66" s="2"/>
      <x:c r="M66" s="2"/>
      <x:c r="N66" s="2"/>
    </x:row>
    <x:row r="67" ht="23" customHeight="1">
      <x:c r="A67" s="2"/>
      <x:c r="B67" s="2"/>
      <x:c r="C67" s="2"/>
      <x:c r="D67" s="2"/>
      <x:c r="E67" s="2"/>
      <x:c r="F67" s="2"/>
      <x:c r="G67" s="2"/>
      <x:c r="H67" s="2"/>
      <x:c r="I67" s="2"/>
      <x:c r="J67" s="2"/>
      <x:c r="K67" s="2"/>
      <x:c r="L67" s="2"/>
      <x:c r="M67" s="2"/>
      <x:c r="N67" s="2"/>
    </x:row>
    <x:row r="68" ht="23" customHeight="1">
      <x:c r="A68" s="2"/>
      <x:c r="B68" s="2"/>
      <x:c r="C68" s="2"/>
      <x:c r="D68" s="2"/>
      <x:c r="E68" s="2"/>
      <x:c r="F68" s="2"/>
      <x:c r="G68" s="2"/>
      <x:c r="H68" s="2"/>
      <x:c r="I68" s="2"/>
      <x:c r="J68" s="2"/>
      <x:c r="K68" s="2"/>
      <x:c r="L68" s="2"/>
      <x:c r="M68" s="2"/>
      <x:c r="N68" s="2"/>
    </x:row>
    <x:row r="69" ht="23" customHeight="1">
      <x:c r="A69" s="2"/>
      <x:c r="B69" s="2"/>
      <x:c r="C69" s="2"/>
      <x:c r="D69" s="2"/>
      <x:c r="E69" s="2"/>
      <x:c r="F69" s="2"/>
      <x:c r="G69" s="2"/>
      <x:c r="H69" s="2"/>
      <x:c r="I69" s="2"/>
      <x:c r="J69" s="2"/>
      <x:c r="K69" s="2"/>
      <x:c r="L69" s="2"/>
      <x:c r="M69" s="2"/>
      <x:c r="N69" s="2"/>
    </x:row>
    <x:row r="70" ht="23" customHeight="1">
      <x:c r="A70" s="2"/>
      <x:c r="B70" s="2"/>
      <x:c r="C70" s="2"/>
      <x:c r="D70" s="2"/>
      <x:c r="E70" s="2"/>
      <x:c r="F70" s="2"/>
      <x:c r="G70" s="2"/>
      <x:c r="H70" s="2"/>
      <x:c r="I70" s="2"/>
      <x:c r="J70" s="2"/>
      <x:c r="K70" s="2"/>
      <x:c r="L70" s="2"/>
      <x:c r="M70" s="2"/>
      <x:c r="N70" s="2"/>
    </x:row>
  </x:sheetData>
  <x:printOptions horizontalCentered="1" headings="0" gridLines="0"/>
  <x:pageMargins left="0.3" right="0.3" top="0.35" bottom="0.35" header="0.15" footer="0.15"/>
  <x:pageSetup paperSize="3" orientation="landscape" fitToWidth="1" fitToHeight="0"/>
  <x:headerFooter>
    <x:oddFooter>&amp;L&amp;"Times New Roman,Regular"&amp;9Tax&amp;RPage &amp;P of &amp;N</x:oddFooter>
  </x:headerFooter>
</x:worksheet>
</file>

<file path=xl/worksheets/sheet6.xml><?xml version="1.0" encoding="utf-8"?>
<x:worksheet xmlns:x="http://schemas.openxmlformats.org/spreadsheetml/2006/main">
  <x:sheetPr>
    <x:pageSetUpPr fitToPage="1"/>
  </x:sheetPr>
  <x:sheetViews>
    <x:sheetView showGridLines="0" workbookViewId="0">
      <x:pane xSplit="3" ySplit="7" topLeftCell="D8" activePane="bottomRight" state="frozen"/>
    </x:sheetView>
  </x:sheetViews>
  <x:sheetFormatPr defaultRowHeight="15"/>
  <x:cols>
    <x:col min="1" max="1" width="3" hidden="0" customWidth="1"/>
    <x:col min="2" max="2" width="3" hidden="0" customWidth="1"/>
    <x:col min="3" max="3" width="46" hidden="0" customWidth="1"/>
    <x:col min="4" max="4" width="17" hidden="0" customWidth="1"/>
    <x:col min="5" max="5" width="23" hidden="0" customWidth="1"/>
    <x:col min="6" max="6" width="23" hidden="0" customWidth="1"/>
    <x:col min="7" max="7" width="17" hidden="0" customWidth="1"/>
    <x:col min="8" max="8" width="17" hidden="0" customWidth="1"/>
    <x:col min="9" max="9" width="17" hidden="0" customWidth="1"/>
    <x:col min="10" max="10" width="17" hidden="0" customWidth="1"/>
    <x:col min="11" max="11" width="17" hidden="0" customWidth="1"/>
    <x:col min="12" max="12" width="17" hidden="0" customWidth="1"/>
    <x:col min="13" max="13" width="17" hidden="0" customWidth="1"/>
    <x:col min="14" max="14" width="17" hidden="0" customWidth="1"/>
  </x:cols>
  <x:sheetData>
    <x:row r="1" ht="23" customHeight="1">
      <x:c r="A1" s="2"/>
      <x:c r="B1" s="2"/>
      <x:c r="C1" s="2"/>
      <x:c r="D1" s="2"/>
      <x:c r="E1" s="2"/>
      <x:c r="F1" s="2"/>
      <x:c r="G1" s="2"/>
      <x:c r="H1" s="2"/>
      <x:c r="I1" s="2"/>
      <x:c r="J1" s="2"/>
      <x:c r="K1" s="2"/>
      <x:c r="L1" s="2"/>
      <x:c r="M1" s="2"/>
      <x:c r="N1" s="2"/>
    </x:row>
    <x:row r="2" ht="23" customHeight="1">
      <x:c r="A2" s="2"/>
      <x:c r="B2" s="2"/>
      <x:c r="C2" s="3" t="str">
        <x:v>Owner costs and incremental cash flow</x:v>
      </x:c>
      <x:c r="D2" s="2"/>
      <x:c r="E2" s="2"/>
      <x:c r="F2" s="2"/>
      <x:c r="G2" s="2"/>
      <x:c r="H2" s="2"/>
      <x:c r="I2" s="2"/>
      <x:c r="J2" s="2"/>
      <x:c r="K2" s="2"/>
      <x:c r="L2" s="2"/>
      <x:c r="M2" s="2"/>
      <x:c r="N2" s="2"/>
    </x:row>
    <x:row r="3" ht="23" customHeight="1">
      <x:c r="A3" s="2"/>
      <x:c r="B3" s="2"/>
      <x:c r="C3" s="5" t="str">
        <x:v>Unlevered nominal USD. Annual cash flows occur on December 31.</x:v>
      </x:c>
      <x:c r="D3" s="2"/>
      <x:c r="E3" s="2"/>
      <x:c r="F3" s="2"/>
      <x:c r="G3" s="2"/>
      <x:c r="H3" s="2"/>
      <x:c r="I3" s="2"/>
      <x:c r="J3" s="2"/>
      <x:c r="K3" s="2"/>
      <x:c r="L3" s="2"/>
      <x:c r="M3" s="2"/>
      <x:c r="N3" s="2"/>
    </x:row>
    <x:row r="4" ht="23" customHeight="1">
      <x:c r="A4" s="2"/>
      <x:c r="B4" s="2"/>
      <x:c r="C4" s="2"/>
      <x:c r="D4" s="2"/>
      <x:c r="E4" s="2"/>
      <x:c r="F4" s="2"/>
      <x:c r="G4" s="2"/>
      <x:c r="H4" s="2"/>
      <x:c r="I4" s="2"/>
      <x:c r="J4" s="2"/>
      <x:c r="K4" s="2"/>
      <x:c r="L4" s="2"/>
      <x:c r="M4" s="2"/>
      <x:c r="N4" s="2"/>
    </x:row>
    <x:row r="5" ht="23" customHeight="1">
      <x:c r="A5" s="2"/>
      <x:c r="B5" s="2"/>
      <x:c r="C5" s="2" t="str">
        <x:v>Selected scenario</x:v>
      </x:c>
      <x:c r="D5" s="56" t="str">
        <x:f>'Assumptions'!E6</x:f>
        <x:v>Base</x:v>
      </x:c>
      <x:c r="E5" s="2"/>
      <x:c r="F5" s="2"/>
      <x:c r="G5" s="2"/>
      <x:c r="H5" s="2"/>
      <x:c r="I5" s="2"/>
      <x:c r="J5" s="2"/>
      <x:c r="K5" s="2"/>
      <x:c r="L5" s="2"/>
      <x:c r="M5" s="2"/>
      <x:c r="N5" s="2"/>
    </x:row>
    <x:row r="6" ht="23" customHeight="1">
      <x:c r="A6" s="2"/>
      <x:c r="B6" s="2"/>
      <x:c r="C6" s="2"/>
      <x:c r="D6" s="2"/>
      <x:c r="E6" s="2"/>
      <x:c r="F6" s="2"/>
      <x:c r="G6" s="2"/>
      <x:c r="H6" s="2"/>
      <x:c r="I6" s="2"/>
      <x:c r="J6" s="2"/>
      <x:c r="K6" s="2"/>
      <x:c r="L6" s="2"/>
      <x:c r="M6" s="2"/>
      <x:c r="N6" s="2"/>
    </x:row>
    <x:row r="7" ht="23" customHeight="1">
      <x:c r="A7" s="2"/>
      <x:c r="B7" s="2"/>
      <x:c r="C7" s="18" t="str">
        <x:v>Project year</x:v>
      </x:c>
      <x:c r="D7" s="18" t="n">
        <x:v>0</x:v>
      </x:c>
      <x:c r="E7" s="18" t="n">
        <x:v>1</x:v>
      </x:c>
      <x:c r="F7" s="18" t="n">
        <x:v>2</x:v>
      </x:c>
      <x:c r="G7" s="18" t="n">
        <x:v>3</x:v>
      </x:c>
      <x:c r="H7" s="18" t="n">
        <x:v>4</x:v>
      </x:c>
      <x:c r="I7" s="18" t="n">
        <x:v>5</x:v>
      </x:c>
      <x:c r="J7" s="18" t="n">
        <x:v>6</x:v>
      </x:c>
      <x:c r="K7" s="18" t="n">
        <x:v>7</x:v>
      </x:c>
      <x:c r="L7" s="18" t="n">
        <x:v>8</x:v>
      </x:c>
      <x:c r="M7" s="18" t="n">
        <x:v>9</x:v>
      </x:c>
      <x:c r="N7" s="18" t="n">
        <x:v>10</x:v>
      </x:c>
    </x:row>
    <x:row r="8" ht="23" customHeight="1">
      <x:c r="A8" s="2"/>
      <x:c r="B8" s="2"/>
      <x:c r="C8" s="2" t="str">
        <x:v>Cash-flow date</x:v>
      </x:c>
      <x:c r="D8" s="41" t="n">
        <x:f>'Assumptions'!$E$21</x:f>
        <x:v>46387</x:v>
      </x:c>
      <x:c r="E8" s="42" t="n">
        <x:f>DATE(YEAR($D$8)+E$7,12,31)</x:f>
        <x:v>46752</x:v>
      </x:c>
      <x:c r="F8" s="42" t="n">
        <x:f>DATE(YEAR($D$8)+F$7,12,31)</x:f>
        <x:v>47118</x:v>
      </x:c>
      <x:c r="G8" s="42" t="n">
        <x:f>DATE(YEAR($D$8)+G$7,12,31)</x:f>
        <x:v>47483</x:v>
      </x:c>
      <x:c r="H8" s="42" t="n">
        <x:f>DATE(YEAR($D$8)+H$7,12,31)</x:f>
        <x:v>47848</x:v>
      </x:c>
      <x:c r="I8" s="42" t="n">
        <x:f>DATE(YEAR($D$8)+I$7,12,31)</x:f>
        <x:v>48213</x:v>
      </x:c>
      <x:c r="J8" s="42" t="n">
        <x:f>DATE(YEAR($D$8)+J$7,12,31)</x:f>
        <x:v>48579</x:v>
      </x:c>
      <x:c r="K8" s="42" t="n">
        <x:f>DATE(YEAR($D$8)+K$7,12,31)</x:f>
        <x:v>48944</x:v>
      </x:c>
      <x:c r="L8" s="42" t="n">
        <x:f>DATE(YEAR($D$8)+L$7,12,31)</x:f>
        <x:v>49309</x:v>
      </x:c>
      <x:c r="M8" s="42" t="n">
        <x:f>DATE(YEAR($D$8)+M$7,12,31)</x:f>
        <x:v>49674</x:v>
      </x:c>
      <x:c r="N8" s="42" t="n">
        <x:f>DATE(YEAR($D$8)+N$7,12,31)</x:f>
        <x:v>50040</x:v>
      </x:c>
    </x:row>
    <x:row r="9" ht="23" customHeight="1">
      <x:c r="A9" s="2"/>
      <x:c r="B9" s="2"/>
      <x:c r="C9" s="2"/>
      <x:c r="D9" s="2"/>
      <x:c r="E9" s="2"/>
      <x:c r="F9" s="2"/>
      <x:c r="G9" s="2"/>
      <x:c r="H9" s="2"/>
      <x:c r="I9" s="2"/>
      <x:c r="J9" s="2"/>
      <x:c r="K9" s="2"/>
      <x:c r="L9" s="2"/>
      <x:c r="M9" s="2"/>
      <x:c r="N9" s="2"/>
    </x:row>
    <x:row r="10" ht="23" customHeight="1">
      <x:c r="A10" s="2"/>
      <x:c r="B10" s="2"/>
      <x:c r="C10" s="18" t="str">
        <x:v>A Existing: absolute owner cash flow</x:v>
      </x:c>
      <x:c r="D10" s="18"/>
      <x:c r="E10" s="18"/>
      <x:c r="F10" s="18"/>
      <x:c r="G10" s="18"/>
      <x:c r="H10" s="18"/>
      <x:c r="I10" s="18"/>
      <x:c r="J10" s="18"/>
      <x:c r="K10" s="18"/>
      <x:c r="L10" s="18"/>
      <x:c r="M10" s="18"/>
      <x:c r="N10" s="18"/>
    </x:row>
    <x:row r="11" ht="23" customHeight="1">
      <x:c r="A11" s="2"/>
      <x:c r="B11" s="2"/>
      <x:c r="C11" s="2" t="str">
        <x:v>Comparable operating cost</x:v>
      </x:c>
      <x:c r="D11" s="28" t="n">
        <x:f>0</x:f>
        <x:v>0</x:v>
      </x:c>
      <x:c r="E11" s="29" t="n">
        <x:f>-'Energy'!E44</x:f>
        <x:v>-968700</x:v>
      </x:c>
      <x:c r="F11" s="29" t="n">
        <x:f>-'Energy'!F44</x:f>
        <x:v>-992917.5</x:v>
      </x:c>
      <x:c r="G11" s="29" t="n">
        <x:f>-'Energy'!G44</x:f>
        <x:v>-1017740.4375</x:v>
      </x:c>
      <x:c r="H11" s="29" t="n">
        <x:f>-'Energy'!H44</x:f>
        <x:v>-1043183.9484374997</x:v>
      </x:c>
      <x:c r="I11" s="29" t="n">
        <x:f>-'Energy'!I44</x:f>
        <x:v>-1069263.547148437</x:v>
      </x:c>
      <x:c r="J11" s="29" t="n">
        <x:f>-'Energy'!J44</x:f>
        <x:v>-1095995.1358271479</x:v>
      </x:c>
      <x:c r="K11" s="29" t="n">
        <x:f>-'Energy'!K44</x:f>
        <x:v>-1123395.0142228266</x:v>
      </x:c>
      <x:c r="L11" s="29" t="n">
        <x:f>-'Energy'!L44</x:f>
        <x:v>-1151479.8895783974</x:v>
      </x:c>
      <x:c r="M11" s="29" t="n">
        <x:f>-'Energy'!M44</x:f>
        <x:v>-1180266.886817857</x:v>
      </x:c>
      <x:c r="N11" s="29" t="n">
        <x:f>-'Energy'!N44</x:f>
        <x:v>-1209773.5589883034</x:v>
      </x:c>
    </x:row>
    <x:row r="12" ht="23" customHeight="1">
      <x:c r="A12" s="2"/>
      <x:c r="B12" s="2"/>
      <x:c r="C12" s="2" t="str">
        <x:v>Operating expense tax shield</x:v>
      </x:c>
      <x:c r="D12" s="29" t="n">
        <x:f>-D11*'Assumptions'!$E$18</x:f>
        <x:v>0</x:v>
      </x:c>
      <x:c r="E12" s="29" t="n">
        <x:f>-E11*'Assumptions'!$E$18</x:f>
        <x:v>271236</x:v>
      </x:c>
      <x:c r="F12" s="29" t="n">
        <x:f>-F11*'Assumptions'!$E$18</x:f>
        <x:v>278016.9</x:v>
      </x:c>
      <x:c r="G12" s="29" t="n">
        <x:f>-G11*'Assumptions'!$E$18</x:f>
        <x:v>284967.3225</x:v>
      </x:c>
      <x:c r="H12" s="29" t="n">
        <x:f>-H11*'Assumptions'!$E$18</x:f>
        <x:v>292091.5055624999</x:v>
      </x:c>
      <x:c r="I12" s="29" t="n">
        <x:f>-I11*'Assumptions'!$E$18</x:f>
        <x:v>299393.79320156237</x:v>
      </x:c>
      <x:c r="J12" s="29" t="n">
        <x:f>-J11*'Assumptions'!$E$18</x:f>
        <x:v>306878.63803160144</x:v>
      </x:c>
      <x:c r="K12" s="29" t="n">
        <x:f>-K11*'Assumptions'!$E$18</x:f>
        <x:v>314550.6039823915</x:v>
      </x:c>
      <x:c r="L12" s="29" t="n">
        <x:f>-L11*'Assumptions'!$E$18</x:f>
        <x:v>322414.36908195127</x:v>
      </x:c>
      <x:c r="M12" s="29" t="n">
        <x:f>-M11*'Assumptions'!$E$18</x:f>
        <x:v>330474.72830899997</x:v>
      </x:c>
      <x:c r="N12" s="29" t="n">
        <x:f>-N11*'Assumptions'!$E$18</x:f>
        <x:v>338736.59651672497</x:v>
      </x:c>
    </x:row>
    <x:row r="13" ht="23" customHeight="1">
      <x:c r="A13" s="2"/>
      <x:c r="B13" s="2"/>
      <x:c r="C13" s="2" t="str">
        <x:v>Capital cash flow</x:v>
      </x:c>
      <x:c r="D13" s="28" t="n">
        <x:f>0</x:f>
        <x:v>0</x:v>
      </x:c>
      <x:c r="E13" s="29" t="n">
        <x:f>-'Tax'!E16</x:f>
        <x:v>0</x:v>
      </x:c>
      <x:c r="F13" s="29" t="n">
        <x:f>-'Tax'!F16</x:f>
        <x:v>0</x:v>
      </x:c>
      <x:c r="G13" s="29" t="n">
        <x:f>-'Tax'!G16</x:f>
        <x:v>-840499.9999999999</x:v>
      </x:c>
      <x:c r="H13" s="29" t="n">
        <x:f>-'Tax'!H16</x:f>
        <x:v>0</x:v>
      </x:c>
      <x:c r="I13" s="29" t="n">
        <x:f>-'Tax'!I16</x:f>
        <x:v>0</x:v>
      </x:c>
      <x:c r="J13" s="29" t="n">
        <x:f>-'Tax'!J16</x:f>
        <x:v>0</x:v>
      </x:c>
      <x:c r="K13" s="29" t="n">
        <x:f>-'Tax'!K16</x:f>
        <x:v>-695816.050927734</x:v>
      </x:c>
      <x:c r="L13" s="29" t="n">
        <x:f>-'Tax'!L16</x:f>
        <x:v>0</x:v>
      </x:c>
      <x:c r="M13" s="29" t="n">
        <x:f>-'Tax'!M16</x:f>
        <x:v>0</x:v>
      </x:c>
      <x:c r="N13" s="29" t="n">
        <x:f>-'Tax'!N16</x:f>
        <x:v>0</x:v>
      </x:c>
    </x:row>
    <x:row r="14" ht="23" customHeight="1">
      <x:c r="A14" s="2"/>
      <x:c r="B14" s="2"/>
      <x:c r="C14" s="2" t="str">
        <x:v>Depreciation tax shield</x:v>
      </x:c>
      <x:c r="D14" s="29" t="n">
        <x:f>'Tax'!D19*'Assumptions'!$E$18</x:f>
        <x:v>0</x:v>
      </x:c>
      <x:c r="E14" s="29" t="n">
        <x:f>'Tax'!E19*'Assumptions'!$E$18</x:f>
        <x:v>0</x:v>
      </x:c>
      <x:c r="F14" s="29" t="n">
        <x:f>'Tax'!F19*'Assumptions'!$E$18</x:f>
        <x:v>0</x:v>
      </x:c>
      <x:c r="G14" s="29" t="n">
        <x:f>'Tax'!G19*'Assumptions'!$E$18</x:f>
        <x:v>251.43162393162388</x:v>
      </x:c>
      <x:c r="H14" s="29" t="n">
        <x:f>'Tax'!H19*'Assumptions'!$E$18</x:f>
        <x:v>6034.358974358974</x:v>
      </x:c>
      <x:c r="I14" s="29" t="n">
        <x:f>'Tax'!I19*'Assumptions'!$E$18</x:f>
        <x:v>6034.358974358974</x:v>
      </x:c>
      <x:c r="J14" s="29" t="n">
        <x:f>'Tax'!J19*'Assumptions'!$E$18</x:f>
        <x:v>6034.358974358974</x:v>
      </x:c>
      <x:c r="K14" s="29" t="n">
        <x:f>'Tax'!K19*'Assumptions'!$E$18</x:f>
        <x:v>6242.509075063852</x:v>
      </x:c>
      <x:c r="L14" s="29" t="n">
        <x:f>'Tax'!L19*'Assumptions'!$E$18</x:f>
        <x:v>11029.961391276038</x:v>
      </x:c>
      <x:c r="M14" s="29" t="n">
        <x:f>'Tax'!M19*'Assumptions'!$E$18</x:f>
        <x:v>11029.961391276038</x:v>
      </x:c>
      <x:c r="N14" s="29" t="n">
        <x:f>'Tax'!N19*'Assumptions'!$E$18</x:f>
        <x:v>11029.961391276038</x:v>
      </x:c>
    </x:row>
    <x:row r="15" ht="23" customHeight="1">
      <x:c r="A15" s="2"/>
      <x:c r="B15" s="2"/>
      <x:c r="C15" s="2" t="str">
        <x:v>Training tax benefit</x:v>
      </x:c>
      <x:c r="D15" s="29" t="n">
        <x:f>'Tax'!D13*'Assumptions'!$E$18</x:f>
        <x:v>0</x:v>
      </x:c>
      <x:c r="E15" s="29" t="n">
        <x:f>'Tax'!E13*'Assumptions'!$E$18</x:f>
        <x:v>0</x:v>
      </x:c>
      <x:c r="F15" s="29" t="n">
        <x:f>'Tax'!F13*'Assumptions'!$E$18</x:f>
        <x:v>0</x:v>
      </x:c>
      <x:c r="G15" s="29" t="n">
        <x:f>'Tax'!G13*'Assumptions'!$E$18</x:f>
        <x:v>0</x:v>
      </x:c>
      <x:c r="H15" s="29" t="n">
        <x:f>'Tax'!H13*'Assumptions'!$E$18</x:f>
        <x:v>0</x:v>
      </x:c>
      <x:c r="I15" s="29" t="n">
        <x:f>'Tax'!I13*'Assumptions'!$E$18</x:f>
        <x:v>0</x:v>
      </x:c>
      <x:c r="J15" s="29" t="n">
        <x:f>'Tax'!J13*'Assumptions'!$E$18</x:f>
        <x:v>0</x:v>
      </x:c>
      <x:c r="K15" s="29" t="n">
        <x:f>'Tax'!K13*'Assumptions'!$E$18</x:f>
        <x:v>0</x:v>
      </x:c>
      <x:c r="L15" s="29" t="n">
        <x:f>'Tax'!L13*'Assumptions'!$E$18</x:f>
        <x:v>0</x:v>
      </x:c>
      <x:c r="M15" s="29" t="n">
        <x:f>'Tax'!M13*'Assumptions'!$E$18</x:f>
        <x:v>0</x:v>
      </x:c>
      <x:c r="N15" s="29" t="n">
        <x:f>'Tax'!N13*'Assumptions'!$E$18</x:f>
        <x:v>0</x:v>
      </x:c>
    </x:row>
    <x:row r="16" ht="23" customHeight="1">
      <x:c r="A16" s="2"/>
      <x:c r="B16" s="2"/>
      <x:c r="C16" s="2" t="str">
        <x:v>Total owner cash flow</x:v>
      </x:c>
      <x:c r="D16" s="28" t="n">
        <x:f>SUM(D11:D15)</x:f>
        <x:v>0</x:v>
      </x:c>
      <x:c r="E16" s="28" t="n">
        <x:f>SUM(E11:E15)</x:f>
        <x:v>-697464</x:v>
      </x:c>
      <x:c r="F16" s="28" t="n">
        <x:f>SUM(F11:F15)</x:f>
        <x:v>-714900.6</x:v>
      </x:c>
      <x:c r="G16" s="28" t="n">
        <x:f>SUM(G11:G15)</x:f>
        <x:v>-1573021.6833760682</x:v>
      </x:c>
      <x:c r="H16" s="28" t="n">
        <x:f>SUM(H11:H15)</x:f>
        <x:v>-745058.0839006407</x:v>
      </x:c>
      <x:c r="I16" s="28" t="n">
        <x:f>SUM(I11:I15)</x:f>
        <x:v>-763835.3949725156</x:v>
      </x:c>
      <x:c r="J16" s="28" t="n">
        <x:f>SUM(J11:J15)</x:f>
        <x:v>-783082.1388211874</x:v>
      </x:c>
      <x:c r="K16" s="28" t="n">
        <x:f>SUM(K11:K15)</x:f>
        <x:v>-1498417.9520931053</x:v>
      </x:c>
      <x:c r="L16" s="28" t="n">
        <x:f>SUM(L11:L15)</x:f>
        <x:v>-818035.5591051702</x:v>
      </x:c>
      <x:c r="M16" s="28" t="n">
        <x:f>SUM(M11:M15)</x:f>
        <x:v>-838762.197117581</x:v>
      </x:c>
      <x:c r="N16" s="28" t="n">
        <x:f>SUM(N11:N15)</x:f>
        <x:v>-860007.0010803025</x:v>
      </x:c>
    </x:row>
    <x:row r="17" ht="23" customHeight="1">
      <x:c r="A17" s="2"/>
      <x:c r="B17" s="2"/>
      <x:c r="C17" s="2"/>
      <x:c r="D17" s="2"/>
      <x:c r="E17" s="2"/>
      <x:c r="F17" s="2"/>
      <x:c r="G17" s="2"/>
      <x:c r="H17" s="2"/>
      <x:c r="I17" s="2"/>
      <x:c r="J17" s="2"/>
      <x:c r="K17" s="2"/>
      <x:c r="L17" s="2"/>
      <x:c r="M17" s="2"/>
      <x:c r="N17" s="2"/>
    </x:row>
    <x:row r="18" ht="23" customHeight="1">
      <x:c r="A18" s="2"/>
      <x:c r="B18" s="2"/>
      <x:c r="C18" s="2"/>
      <x:c r="D18" s="2"/>
      <x:c r="E18" s="2"/>
      <x:c r="F18" s="2"/>
      <x:c r="G18" s="2"/>
      <x:c r="H18" s="2"/>
      <x:c r="I18" s="2"/>
      <x:c r="J18" s="2"/>
      <x:c r="K18" s="2"/>
      <x:c r="L18" s="2"/>
      <x:c r="M18" s="2"/>
      <x:c r="N18" s="2"/>
    </x:row>
    <x:row r="19" ht="23" customHeight="1">
      <x:c r="A19" s="2"/>
      <x:c r="B19" s="2"/>
      <x:c r="C19" s="2"/>
      <x:c r="D19" s="2"/>
      <x:c r="E19" s="2"/>
      <x:c r="F19" s="2"/>
      <x:c r="G19" s="2"/>
      <x:c r="H19" s="2"/>
      <x:c r="I19" s="2"/>
      <x:c r="J19" s="2"/>
      <x:c r="K19" s="2"/>
      <x:c r="L19" s="2"/>
      <x:c r="M19" s="2"/>
      <x:c r="N19" s="2"/>
    </x:row>
    <x:row r="20" ht="23" customHeight="1">
      <x:c r="A20" s="2"/>
      <x:c r="B20" s="2"/>
      <x:c r="C20" s="2"/>
      <x:c r="D20" s="2"/>
      <x:c r="E20" s="2"/>
      <x:c r="F20" s="2"/>
      <x:c r="G20" s="2"/>
      <x:c r="H20" s="2"/>
      <x:c r="I20" s="2"/>
      <x:c r="J20" s="2"/>
      <x:c r="K20" s="2"/>
      <x:c r="L20" s="2"/>
      <x:c r="M20" s="2"/>
      <x:c r="N20" s="2"/>
    </x:row>
    <x:row r="21" ht="23" customHeight="1">
      <x:c r="A21" s="2"/>
      <x:c r="B21" s="2"/>
      <x:c r="C21" s="18" t="str">
        <x:v>B Full: absolute owner cash flow</x:v>
      </x:c>
      <x:c r="D21" s="18"/>
      <x:c r="E21" s="18"/>
      <x:c r="F21" s="18"/>
      <x:c r="G21" s="18"/>
      <x:c r="H21" s="18"/>
      <x:c r="I21" s="18"/>
      <x:c r="J21" s="18"/>
      <x:c r="K21" s="18"/>
      <x:c r="L21" s="18"/>
      <x:c r="M21" s="18"/>
      <x:c r="N21" s="18"/>
    </x:row>
    <x:row r="22" ht="23" customHeight="1">
      <x:c r="A22" s="2"/>
      <x:c r="B22" s="2"/>
      <x:c r="C22" s="2" t="str">
        <x:v>Comparable operating cost</x:v>
      </x:c>
      <x:c r="D22" s="28" t="n">
        <x:f>0</x:f>
        <x:v>0</x:v>
      </x:c>
      <x:c r="E22" s="29" t="n">
        <x:f>-('Energy'!E44-('Energy'!E44-'Energy'!E51)*'Assumptions'!$E$22)</x:f>
        <x:v>-569260</x:v>
      </x:c>
      <x:c r="F22" s="29" t="n">
        <x:f>-('Energy'!F44-('Energy'!F44-'Energy'!F51)*'Assumptions'!$E$22)</x:f>
        <x:v>-583491.5</x:v>
      </x:c>
      <x:c r="G22" s="29" t="n">
        <x:f>-('Energy'!G44-('Energy'!G44-'Energy'!G51)*'Assumptions'!$E$22)</x:f>
        <x:v>-598078.7875000001</x:v>
      </x:c>
      <x:c r="H22" s="29" t="n">
        <x:f>-('Energy'!H44-('Energy'!H44-'Energy'!H51)*'Assumptions'!$E$22)</x:f>
        <x:v>-613030.7571874999</x:v>
      </x:c>
      <x:c r="I22" s="29" t="n">
        <x:f>-('Energy'!I44-('Energy'!I44-'Energy'!I51)*'Assumptions'!$E$22)</x:f>
        <x:v>-628356.5261171872</x:v>
      </x:c>
      <x:c r="J22" s="29" t="n">
        <x:f>-('Energy'!J44-('Energy'!J44-'Energy'!J51)*'Assumptions'!$E$22)</x:f>
        <x:v>-644065.4392701169</x:v>
      </x:c>
      <x:c r="K22" s="29" t="n">
        <x:f>-('Energy'!K44-('Energy'!K44-'Energy'!K51)*'Assumptions'!$E$22)</x:f>
        <x:v>-660167.0752518697</x:v>
      </x:c>
      <x:c r="L22" s="29" t="n">
        <x:f>-('Energy'!L44-('Energy'!L44-'Energy'!L51)*'Assumptions'!$E$22)</x:f>
        <x:v>-676671.2521331665</x:v>
      </x:c>
      <x:c r="M22" s="29" t="n">
        <x:f>-('Energy'!M44-('Energy'!M44-'Energy'!M51)*'Assumptions'!$E$22)</x:f>
        <x:v>-693588.0334364956</x:v>
      </x:c>
      <x:c r="N22" s="29" t="n">
        <x:f>-('Energy'!N44-('Energy'!N44-'Energy'!N51)*'Assumptions'!$E$22)</x:f>
        <x:v>-710927.734272408</x:v>
      </x:c>
    </x:row>
    <x:row r="23" ht="23" customHeight="1">
      <x:c r="A23" s="2"/>
      <x:c r="B23" s="2"/>
      <x:c r="C23" s="2" t="str">
        <x:v>Operating expense tax shield</x:v>
      </x:c>
      <x:c r="D23" s="29" t="n">
        <x:f>-D22*'Assumptions'!$E$18</x:f>
        <x:v>0</x:v>
      </x:c>
      <x:c r="E23" s="29" t="n">
        <x:f>-E22*'Assumptions'!$E$18</x:f>
        <x:v>159392.80000000002</x:v>
      </x:c>
      <x:c r="F23" s="29" t="n">
        <x:f>-F22*'Assumptions'!$E$18</x:f>
        <x:v>163377.62000000002</x:v>
      </x:c>
      <x:c r="G23" s="29" t="n">
        <x:f>-G22*'Assumptions'!$E$18</x:f>
        <x:v>167462.06050000005</x:v>
      </x:c>
      <x:c r="H23" s="29" t="n">
        <x:f>-H22*'Assumptions'!$E$18</x:f>
        <x:v>171648.6120125</x:v>
      </x:c>
      <x:c r="I23" s="29" t="n">
        <x:f>-I22*'Assumptions'!$E$18</x:f>
        <x:v>175939.82731281244</x:v>
      </x:c>
      <x:c r="J23" s="29" t="n">
        <x:f>-J22*'Assumptions'!$E$18</x:f>
        <x:v>180338.32299563274</x:v>
      </x:c>
      <x:c r="K23" s="29" t="n">
        <x:f>-K22*'Assumptions'!$E$18</x:f>
        <x:v>184846.78107052355</x:v>
      </x:c>
      <x:c r="L23" s="29" t="n">
        <x:f>-L22*'Assumptions'!$E$18</x:f>
        <x:v>189467.95059728666</x:v>
      </x:c>
      <x:c r="M23" s="29" t="n">
        <x:f>-M22*'Assumptions'!$E$18</x:f>
        <x:v>194204.64936221877</x:v>
      </x:c>
      <x:c r="N23" s="29" t="n">
        <x:f>-N22*'Assumptions'!$E$18</x:f>
        <x:v>199059.76559627426</x:v>
      </x:c>
    </x:row>
    <x:row r="24" ht="23" customHeight="1">
      <x:c r="A24" s="2"/>
      <x:c r="B24" s="2"/>
      <x:c r="C24" s="2" t="str">
        <x:v>Capital cash flow</x:v>
      </x:c>
      <x:c r="D24" s="29" t="n">
        <x:f>-'CapEx'!F28</x:f>
        <x:v>-5000000</x:v>
      </x:c>
      <x:c r="E24" s="29" t="n">
        <x:f>-'Tax'!E32</x:f>
        <x:v>0</x:v>
      </x:c>
      <x:c r="F24" s="29" t="n">
        <x:f>-'Tax'!F32</x:f>
        <x:v>0</x:v>
      </x:c>
      <x:c r="G24" s="29" t="n">
        <x:f>-'Tax'!G32</x:f>
        <x:v>0</x:v>
      </x:c>
      <x:c r="H24" s="29" t="n">
        <x:f>-'Tax'!H32</x:f>
        <x:v>0</x:v>
      </x:c>
      <x:c r="I24" s="29" t="n">
        <x:f>-'Tax'!I32</x:f>
        <x:v>0</x:v>
      </x:c>
      <x:c r="J24" s="29" t="n">
        <x:f>-'Tax'!J32</x:f>
        <x:v>0</x:v>
      </x:c>
      <x:c r="K24" s="29" t="n">
        <x:f>-'Tax'!K32</x:f>
        <x:v>-173954.0127319335</x:v>
      </x:c>
      <x:c r="L24" s="29" t="n">
        <x:f>-'Tax'!L32</x:f>
        <x:v>0</x:v>
      </x:c>
      <x:c r="M24" s="29" t="n">
        <x:f>-'Tax'!M32</x:f>
        <x:v>0</x:v>
      </x:c>
      <x:c r="N24" s="29" t="n">
        <x:f>-'Tax'!N32</x:f>
        <x:v>0</x:v>
      </x:c>
    </x:row>
    <x:row r="25" ht="23" customHeight="1">
      <x:c r="A25" s="2"/>
      <x:c r="B25" s="2"/>
      <x:c r="C25" s="2" t="str">
        <x:v>Depreciation tax shield</x:v>
      </x:c>
      <x:c r="D25" s="29" t="n">
        <x:f>'Tax'!D35*'Assumptions'!$E$18</x:f>
        <x:v>0</x:v>
      </x:c>
      <x:c r="E25" s="29" t="n">
        <x:f>'Tax'!E35*'Assumptions'!$E$18</x:f>
        <x:v>35457.69230769231</x:v>
      </x:c>
      <x:c r="F25" s="29" t="n">
        <x:f>'Tax'!F35*'Assumptions'!$E$18</x:f>
        <x:v>37778.461538461546</x:v>
      </x:c>
      <x:c r="G25" s="29" t="n">
        <x:f>'Tax'!G35*'Assumptions'!$E$18</x:f>
        <x:v>36882.461538461546</x:v>
      </x:c>
      <x:c r="H25" s="29" t="n">
        <x:f>'Tax'!H35*'Assumptions'!$E$18</x:f>
        <x:v>36344.86153846154</x:v>
      </x:c>
      <x:c r="I25" s="29" t="n">
        <x:f>'Tax'!I35*'Assumptions'!$E$18</x:f>
        <x:v>36344.86153846154</x:v>
      </x:c>
      <x:c r="J25" s="29" t="n">
        <x:f>'Tax'!J35*'Assumptions'!$E$18</x:f>
        <x:v>35941.66153846154</x:v>
      </x:c>
      <x:c r="K25" s="29" t="n">
        <x:f>'Tax'!K35*'Assumptions'!$E$18</x:f>
        <x:v>35590.49906363776</x:v>
      </x:c>
      <x:c r="L25" s="29" t="n">
        <x:f>'Tax'!L35*'Assumptions'!$E$18</x:f>
        <x:v>36787.36214269081</x:v>
      </x:c>
      <x:c r="M25" s="29" t="n">
        <x:f>'Tax'!M35*'Assumptions'!$E$18</x:f>
        <x:v>36787.36214269081</x:v>
      </x:c>
      <x:c r="N25" s="29" t="n">
        <x:f>'Tax'!N35*'Assumptions'!$E$18</x:f>
        <x:v>36787.36214269081</x:v>
      </x:c>
    </x:row>
    <x:row r="26" ht="23" customHeight="1">
      <x:c r="A26" s="2"/>
      <x:c r="B26" s="2"/>
      <x:c r="C26" s="2" t="str">
        <x:v>Training tax benefit</x:v>
      </x:c>
      <x:c r="D26" s="29" t="n">
        <x:f>'Tax'!D29*'Assumptions'!$E$18</x:f>
        <x:v>0</x:v>
      </x:c>
      <x:c r="E26" s="29" t="n">
        <x:f>'Tax'!E29*'Assumptions'!$E$18</x:f>
        <x:v>7000.000000000001</x:v>
      </x:c>
      <x:c r="F26" s="29" t="n">
        <x:f>'Tax'!F29*'Assumptions'!$E$18</x:f>
        <x:v>0</x:v>
      </x:c>
      <x:c r="G26" s="29" t="n">
        <x:f>'Tax'!G29*'Assumptions'!$E$18</x:f>
        <x:v>0</x:v>
      </x:c>
      <x:c r="H26" s="29" t="n">
        <x:f>'Tax'!H29*'Assumptions'!$E$18</x:f>
        <x:v>0</x:v>
      </x:c>
      <x:c r="I26" s="29" t="n">
        <x:f>'Tax'!I29*'Assumptions'!$E$18</x:f>
        <x:v>0</x:v>
      </x:c>
      <x:c r="J26" s="29" t="n">
        <x:f>'Tax'!J29*'Assumptions'!$E$18</x:f>
        <x:v>0</x:v>
      </x:c>
      <x:c r="K26" s="29" t="n">
        <x:f>'Tax'!K29*'Assumptions'!$E$18</x:f>
        <x:v>0</x:v>
      </x:c>
      <x:c r="L26" s="29" t="n">
        <x:f>'Tax'!L29*'Assumptions'!$E$18</x:f>
        <x:v>0</x:v>
      </x:c>
      <x:c r="M26" s="29" t="n">
        <x:f>'Tax'!M29*'Assumptions'!$E$18</x:f>
        <x:v>0</x:v>
      </x:c>
      <x:c r="N26" s="29" t="n">
        <x:f>'Tax'!N29*'Assumptions'!$E$18</x:f>
        <x:v>0</x:v>
      </x:c>
    </x:row>
    <x:row r="27" ht="23" customHeight="1">
      <x:c r="A27" s="2"/>
      <x:c r="B27" s="2"/>
      <x:c r="C27" s="2" t="str">
        <x:v>Total owner cash flow</x:v>
      </x:c>
      <x:c r="D27" s="28" t="n">
        <x:f>SUM(D22:D26)</x:f>
        <x:v>-5000000</x:v>
      </x:c>
      <x:c r="E27" s="28" t="n">
        <x:f>SUM(E22:E26)</x:f>
        <x:v>-367409.50769230764</x:v>
      </x:c>
      <x:c r="F27" s="28" t="n">
        <x:f>SUM(F22:F26)</x:f>
        <x:v>-382335.41846153844</x:v>
      </x:c>
      <x:c r="G27" s="28" t="n">
        <x:f>SUM(G22:G26)</x:f>
        <x:v>-393734.2654615385</x:v>
      </x:c>
      <x:c r="H27" s="28" t="n">
        <x:f>SUM(H22:H26)</x:f>
        <x:v>-405037.28363653837</x:v>
      </x:c>
      <x:c r="I27" s="28" t="n">
        <x:f>SUM(I22:I26)</x:f>
        <x:v>-416071.83726591326</x:v>
      </x:c>
      <x:c r="J27" s="28" t="n">
        <x:f>SUM(J22:J26)</x:f>
        <x:v>-427785.4547360225</x:v>
      </x:c>
      <x:c r="K27" s="28" t="n">
        <x:f>SUM(K22:K26)</x:f>
        <x:v>-613683.8078496419</x:v>
      </x:c>
      <x:c r="L27" s="28" t="n">
        <x:f>SUM(L22:L26)</x:f>
        <x:v>-450415.93939318904</x:v>
      </x:c>
      <x:c r="M27" s="28" t="n">
        <x:f>SUM(M22:M26)</x:f>
        <x:v>-462596.021931586</x:v>
      </x:c>
      <x:c r="N27" s="28" t="n">
        <x:f>SUM(N22:N26)</x:f>
        <x:v>-475080.60653344286</x:v>
      </x:c>
    </x:row>
    <x:row r="28" ht="23" customHeight="1">
      <x:c r="A28" s="2"/>
      <x:c r="B28" s="2"/>
      <x:c r="C28" s="2"/>
      <x:c r="D28" s="2"/>
      <x:c r="E28" s="2"/>
      <x:c r="F28" s="2"/>
      <x:c r="G28" s="2"/>
      <x:c r="H28" s="2"/>
      <x:c r="I28" s="2"/>
      <x:c r="J28" s="2"/>
      <x:c r="K28" s="2"/>
      <x:c r="L28" s="2"/>
      <x:c r="M28" s="2"/>
      <x:c r="N28" s="2"/>
    </x:row>
    <x:row r="29" ht="23" customHeight="1">
      <x:c r="A29" s="2"/>
      <x:c r="B29" s="2"/>
      <x:c r="C29" s="2"/>
      <x:c r="D29" s="2"/>
      <x:c r="E29" s="2"/>
      <x:c r="F29" s="2"/>
      <x:c r="G29" s="2"/>
      <x:c r="H29" s="2"/>
      <x:c r="I29" s="2"/>
      <x:c r="J29" s="2"/>
      <x:c r="K29" s="2"/>
      <x:c r="L29" s="2"/>
      <x:c r="M29" s="2"/>
      <x:c r="N29" s="2"/>
    </x:row>
    <x:row r="30" ht="23" customHeight="1">
      <x:c r="A30" s="2"/>
      <x:c r="B30" s="2"/>
      <x:c r="C30" s="2"/>
      <x:c r="D30" s="2"/>
      <x:c r="E30" s="2"/>
      <x:c r="F30" s="2"/>
      <x:c r="G30" s="2"/>
      <x:c r="H30" s="2"/>
      <x:c r="I30" s="2"/>
      <x:c r="J30" s="2"/>
      <x:c r="K30" s="2"/>
      <x:c r="L30" s="2"/>
      <x:c r="M30" s="2"/>
      <x:c r="N30" s="2"/>
    </x:row>
    <x:row r="31" ht="23" customHeight="1">
      <x:c r="A31" s="2"/>
      <x:c r="B31" s="2"/>
      <x:c r="C31" s="2"/>
      <x:c r="D31" s="2"/>
      <x:c r="E31" s="2"/>
      <x:c r="F31" s="2"/>
      <x:c r="G31" s="2"/>
      <x:c r="H31" s="2"/>
      <x:c r="I31" s="2"/>
      <x:c r="J31" s="2"/>
      <x:c r="K31" s="2"/>
      <x:c r="L31" s="2"/>
      <x:c r="M31" s="2"/>
      <x:c r="N31" s="2"/>
    </x:row>
    <x:row r="32" ht="23" customHeight="1">
      <x:c r="A32" s="2"/>
      <x:c r="B32" s="2"/>
      <x:c r="C32" s="18" t="str">
        <x:v>C Partial: absolute owner cash flow</x:v>
      </x:c>
      <x:c r="D32" s="18"/>
      <x:c r="E32" s="18"/>
      <x:c r="F32" s="18"/>
      <x:c r="G32" s="18"/>
      <x:c r="H32" s="18"/>
      <x:c r="I32" s="18"/>
      <x:c r="J32" s="18"/>
      <x:c r="K32" s="18"/>
      <x:c r="L32" s="18"/>
      <x:c r="M32" s="18"/>
      <x:c r="N32" s="18"/>
    </x:row>
    <x:row r="33" ht="23" customHeight="1">
      <x:c r="A33" s="2"/>
      <x:c r="B33" s="2"/>
      <x:c r="C33" s="2" t="str">
        <x:v>Comparable operating cost</x:v>
      </x:c>
      <x:c r="D33" s="28" t="n">
        <x:f>0</x:f>
        <x:v>0</x:v>
      </x:c>
      <x:c r="E33" s="29" t="n">
        <x:f>-('Energy'!E44-('Energy'!E44-'Energy'!E58)*'Assumptions'!$E$22)</x:f>
        <x:v>-778300</x:v>
      </x:c>
      <x:c r="F33" s="29" t="n">
        <x:f>-('Energy'!F44-('Energy'!F44-'Energy'!F58)*'Assumptions'!$E$22)</x:f>
        <x:v>-797757.5</x:v>
      </x:c>
      <x:c r="G33" s="29" t="n">
        <x:f>-('Energy'!G44-('Energy'!G44-'Energy'!G58)*'Assumptions'!$E$22)</x:f>
        <x:v>-817701.4375</x:v>
      </x:c>
      <x:c r="H33" s="29" t="n">
        <x:f>-('Energy'!H44-('Energy'!H44-'Energy'!H58)*'Assumptions'!$E$22)</x:f>
        <x:v>-838143.9734374997</x:v>
      </x:c>
      <x:c r="I33" s="29" t="n">
        <x:f>-('Energy'!I44-('Energy'!I44-'Energy'!I58)*'Assumptions'!$E$22)</x:f>
        <x:v>-859097.5727734371</x:v>
      </x:c>
      <x:c r="J33" s="29" t="n">
        <x:f>-('Energy'!J44-('Energy'!J44-'Energy'!J58)*'Assumptions'!$E$22)</x:f>
        <x:v>-880575.012092773</x:v>
      </x:c>
      <x:c r="K33" s="29" t="n">
        <x:f>-('Energy'!K44-('Energy'!K44-'Energy'!K58)*'Assumptions'!$E$22)</x:f>
        <x:v>-902589.3873950923</x:v>
      </x:c>
      <x:c r="L33" s="29" t="n">
        <x:f>-('Energy'!L44-('Energy'!L44-'Energy'!L58)*'Assumptions'!$E$22)</x:f>
        <x:v>-925154.1220799696</x:v>
      </x:c>
      <x:c r="M33" s="29" t="n">
        <x:f>-('Energy'!M44-('Energy'!M44-'Energy'!M58)*'Assumptions'!$E$22)</x:f>
        <x:v>-948282.9751319686</x:v>
      </x:c>
      <x:c r="N33" s="29" t="n">
        <x:f>-('Energy'!N44-('Energy'!N44-'Energy'!N58)*'Assumptions'!$E$22)</x:f>
        <x:v>-971990.049510268</x:v>
      </x:c>
    </x:row>
    <x:row r="34" ht="23" customHeight="1">
      <x:c r="A34" s="2"/>
      <x:c r="B34" s="2"/>
      <x:c r="C34" s="2" t="str">
        <x:v>Operating expense tax shield</x:v>
      </x:c>
      <x:c r="D34" s="29" t="n">
        <x:f>-D33*'Assumptions'!$E$18</x:f>
        <x:v>0</x:v>
      </x:c>
      <x:c r="E34" s="29" t="n">
        <x:f>-E33*'Assumptions'!$E$18</x:f>
        <x:v>217924.00000000003</x:v>
      </x:c>
      <x:c r="F34" s="29" t="n">
        <x:f>-F33*'Assumptions'!$E$18</x:f>
        <x:v>223372.10000000003</x:v>
      </x:c>
      <x:c r="G34" s="29" t="n">
        <x:f>-G33*'Assumptions'!$E$18</x:f>
        <x:v>228956.40250000003</x:v>
      </x:c>
      <x:c r="H34" s="29" t="n">
        <x:f>-H33*'Assumptions'!$E$18</x:f>
        <x:v>234680.31256249995</x:v>
      </x:c>
      <x:c r="I34" s="29" t="n">
        <x:f>-I33*'Assumptions'!$E$18</x:f>
        <x:v>240547.32037656242</x:v>
      </x:c>
      <x:c r="J34" s="29" t="n">
        <x:f>-J33*'Assumptions'!$E$18</x:f>
        <x:v>246561.00338597645</x:v>
      </x:c>
      <x:c r="K34" s="29" t="n">
        <x:f>-K33*'Assumptions'!$E$18</x:f>
        <x:v>252725.02847062587</x:v>
      </x:c>
      <x:c r="L34" s="29" t="n">
        <x:f>-L33*'Assumptions'!$E$18</x:f>
        <x:v>259043.1541823915</x:v>
      </x:c>
      <x:c r="M34" s="29" t="n">
        <x:f>-M33*'Assumptions'!$E$18</x:f>
        <x:v>265519.2330369512</x:v>
      </x:c>
      <x:c r="N34" s="29" t="n">
        <x:f>-N33*'Assumptions'!$E$18</x:f>
        <x:v>272157.21386287507</x:v>
      </x:c>
    </x:row>
    <x:row r="35" ht="23" customHeight="1">
      <x:c r="A35" s="2"/>
      <x:c r="B35" s="2"/>
      <x:c r="C35" s="2" t="str">
        <x:v>Capital cash flow</x:v>
      </x:c>
      <x:c r="D35" s="29" t="n">
        <x:f>-'CapEx'!I28</x:f>
        <x:v>-1669000</x:v>
      </x:c>
      <x:c r="E35" s="29" t="n">
        <x:f>-'Tax'!E48</x:f>
        <x:v>0</x:v>
      </x:c>
      <x:c r="F35" s="29" t="n">
        <x:f>-'Tax'!F48</x:f>
        <x:v>0</x:v>
      </x:c>
      <x:c r="G35" s="29" t="n">
        <x:f>-'Tax'!G48</x:f>
        <x:v>0</x:v>
      </x:c>
      <x:c r="H35" s="29" t="n">
        <x:f>-'Tax'!H48</x:f>
        <x:v>0</x:v>
      </x:c>
      <x:c r="I35" s="29" t="n">
        <x:f>-'Tax'!I48</x:f>
        <x:v>-551906.4453124998</x:v>
      </x:c>
      <x:c r="J35" s="29" t="n">
        <x:f>-'Tax'!J48</x:f>
        <x:v>0</x:v>
      </x:c>
      <x:c r="K35" s="29" t="n">
        <x:f>-'Tax'!K48</x:f>
        <x:v>0</x:v>
      </x:c>
      <x:c r="L35" s="29" t="n">
        <x:f>-'Tax'!L48</x:f>
        <x:v>0</x:v>
      </x:c>
      <x:c r="M35" s="29" t="n">
        <x:f>-'Tax'!M48</x:f>
        <x:v>0</x:v>
      </x:c>
      <x:c r="N35" s="29" t="n">
        <x:f>-'Tax'!N48</x:f>
        <x:v>0</x:v>
      </x:c>
    </x:row>
    <x:row r="36" ht="23" customHeight="1">
      <x:c r="A36" s="2"/>
      <x:c r="B36" s="2"/>
      <x:c r="C36" s="2" t="str">
        <x:v>Depreciation tax shield</x:v>
      </x:c>
      <x:c r="D36" s="29" t="n">
        <x:f>'Tax'!D51*'Assumptions'!$E$18</x:f>
        <x:v>0</x:v>
      </x:c>
      <x:c r="E36" s="29" t="n">
        <x:f>'Tax'!E51*'Assumptions'!$E$18</x:f>
        <x:v>12116.880341880344</x:v>
      </x:c>
      <x:c r="F36" s="29" t="n">
        <x:f>'Tax'!F51*'Assumptions'!$E$18</x:f>
        <x:v>13111.179487179488</x:v>
      </x:c>
      <x:c r="G36" s="29" t="n">
        <x:f>'Tax'!G51*'Assumptions'!$E$18</x:f>
        <x:v>12573.579487179488</x:v>
      </x:c>
      <x:c r="H36" s="29" t="n">
        <x:f>'Tax'!H51*'Assumptions'!$E$18</x:f>
        <x:v>12251.019487179488</x:v>
      </x:c>
      <x:c r="I36" s="29" t="n">
        <x:f>'Tax'!I51*'Assumptions'!$E$18</x:f>
        <x:v>12416.119705862715</x:v>
      </x:c>
      <x:c r="J36" s="29" t="n">
        <x:f>'Tax'!J51*'Assumptions'!$E$18</x:f>
        <x:v>15971.504735576922</x:v>
      </x:c>
      <x:c r="K36" s="29" t="n">
        <x:f>'Tax'!K51*'Assumptions'!$E$18</x:f>
        <x:v>15729.584735576922</x:v>
      </x:c>
      <x:c r="L36" s="29" t="n">
        <x:f>'Tax'!L51*'Assumptions'!$E$18</x:f>
        <x:v>15729.584735576922</x:v>
      </x:c>
      <x:c r="M36" s="29" t="n">
        <x:f>'Tax'!M51*'Assumptions'!$E$18</x:f>
        <x:v>15729.584735576922</x:v>
      </x:c>
      <x:c r="N36" s="29" t="n">
        <x:f>'Tax'!N51*'Assumptions'!$E$18</x:f>
        <x:v>15729.584735576922</x:v>
      </x:c>
    </x:row>
    <x:row r="37" ht="23" customHeight="1">
      <x:c r="A37" s="2"/>
      <x:c r="B37" s="2"/>
      <x:c r="C37" s="2" t="str">
        <x:v>Training tax benefit</x:v>
      </x:c>
      <x:c r="D37" s="29" t="n">
        <x:f>'Tax'!D45*'Assumptions'!$E$18</x:f>
        <x:v>0</x:v>
      </x:c>
      <x:c r="E37" s="29" t="n">
        <x:f>'Tax'!E45*'Assumptions'!$E$18</x:f>
        <x:v>4200</x:v>
      </x:c>
      <x:c r="F37" s="29" t="n">
        <x:f>'Tax'!F45*'Assumptions'!$E$18</x:f>
        <x:v>0</x:v>
      </x:c>
      <x:c r="G37" s="29" t="n">
        <x:f>'Tax'!G45*'Assumptions'!$E$18</x:f>
        <x:v>0</x:v>
      </x:c>
      <x:c r="H37" s="29" t="n">
        <x:f>'Tax'!H45*'Assumptions'!$E$18</x:f>
        <x:v>0</x:v>
      </x:c>
      <x:c r="I37" s="29" t="n">
        <x:f>'Tax'!I45*'Assumptions'!$E$18</x:f>
        <x:v>0</x:v>
      </x:c>
      <x:c r="J37" s="29" t="n">
        <x:f>'Tax'!J45*'Assumptions'!$E$18</x:f>
        <x:v>0</x:v>
      </x:c>
      <x:c r="K37" s="29" t="n">
        <x:f>'Tax'!K45*'Assumptions'!$E$18</x:f>
        <x:v>0</x:v>
      </x:c>
      <x:c r="L37" s="29" t="n">
        <x:f>'Tax'!L45*'Assumptions'!$E$18</x:f>
        <x:v>0</x:v>
      </x:c>
      <x:c r="M37" s="29" t="n">
        <x:f>'Tax'!M45*'Assumptions'!$E$18</x:f>
        <x:v>0</x:v>
      </x:c>
      <x:c r="N37" s="29" t="n">
        <x:f>'Tax'!N45*'Assumptions'!$E$18</x:f>
        <x:v>0</x:v>
      </x:c>
    </x:row>
    <x:row r="38" ht="23" customHeight="1">
      <x:c r="A38" s="2"/>
      <x:c r="B38" s="2"/>
      <x:c r="C38" s="2" t="str">
        <x:v>Total owner cash flow</x:v>
      </x:c>
      <x:c r="D38" s="28" t="n">
        <x:f>SUM(D33:D37)</x:f>
        <x:v>-1669000</x:v>
      </x:c>
      <x:c r="E38" s="28" t="n">
        <x:f>SUM(E33:E37)</x:f>
        <x:v>-544059.1196581196</x:v>
      </x:c>
      <x:c r="F38" s="28" t="n">
        <x:f>SUM(F33:F37)</x:f>
        <x:v>-561274.2205128204</x:v>
      </x:c>
      <x:c r="G38" s="28" t="n">
        <x:f>SUM(G33:G37)</x:f>
        <x:v>-576171.4555128204</x:v>
      </x:c>
      <x:c r="H38" s="28" t="n">
        <x:f>SUM(H33:H37)</x:f>
        <x:v>-591212.6413878204</x:v>
      </x:c>
      <x:c r="I38" s="28" t="n">
        <x:f>SUM(I33:I37)</x:f>
        <x:v>-1158040.5780035118</x:v>
      </x:c>
      <x:c r="J38" s="28" t="n">
        <x:f>SUM(J33:J37)</x:f>
        <x:v>-618042.5039712196</x:v>
      </x:c>
      <x:c r="K38" s="28" t="n">
        <x:f>SUM(K33:K37)</x:f>
        <x:v>-634134.7741888895</x:v>
      </x:c>
      <x:c r="L38" s="28" t="n">
        <x:f>SUM(L33:L37)</x:f>
        <x:v>-650381.3831620013</x:v>
      </x:c>
      <x:c r="M38" s="28" t="n">
        <x:f>SUM(M33:M37)</x:f>
        <x:v>-667034.1573594405</x:v>
      </x:c>
      <x:c r="N38" s="28" t="n">
        <x:f>SUM(N33:N37)</x:f>
        <x:v>-684103.2509118161</x:v>
      </x:c>
    </x:row>
    <x:row r="39" ht="23" customHeight="1">
      <x:c r="A39" s="2"/>
      <x:c r="B39" s="2"/>
      <x:c r="C39" s="2"/>
      <x:c r="D39" s="2"/>
      <x:c r="E39" s="2"/>
      <x:c r="F39" s="2"/>
      <x:c r="G39" s="2"/>
      <x:c r="H39" s="2"/>
      <x:c r="I39" s="2"/>
      <x:c r="J39" s="2"/>
      <x:c r="K39" s="2"/>
      <x:c r="L39" s="2"/>
      <x:c r="M39" s="2"/>
      <x:c r="N39" s="2"/>
    </x:row>
    <x:row r="40" ht="23" customHeight="1">
      <x:c r="A40" s="2"/>
      <x:c r="B40" s="2"/>
      <x:c r="C40" s="2"/>
      <x:c r="D40" s="2"/>
      <x:c r="E40" s="2"/>
      <x:c r="F40" s="2"/>
      <x:c r="G40" s="2"/>
      <x:c r="H40" s="2"/>
      <x:c r="I40" s="2"/>
      <x:c r="J40" s="2"/>
      <x:c r="K40" s="2"/>
      <x:c r="L40" s="2"/>
      <x:c r="M40" s="2"/>
      <x:c r="N40" s="2"/>
    </x:row>
    <x:row r="41" ht="23" customHeight="1">
      <x:c r="A41" s="2"/>
      <x:c r="B41" s="2"/>
      <x:c r="C41" s="2"/>
      <x:c r="D41" s="2"/>
      <x:c r="E41" s="2"/>
      <x:c r="F41" s="2"/>
      <x:c r="G41" s="2"/>
      <x:c r="H41" s="2"/>
      <x:c r="I41" s="2"/>
      <x:c r="J41" s="2"/>
      <x:c r="K41" s="2"/>
      <x:c r="L41" s="2"/>
      <x:c r="M41" s="2"/>
      <x:c r="N41" s="2"/>
    </x:row>
    <x:row r="42" ht="23" customHeight="1">
      <x:c r="A42" s="2"/>
      <x:c r="B42" s="2"/>
      <x:c r="C42" s="2"/>
      <x:c r="D42" s="2"/>
      <x:c r="E42" s="2"/>
      <x:c r="F42" s="2"/>
      <x:c r="G42" s="2"/>
      <x:c r="H42" s="2"/>
      <x:c r="I42" s="2"/>
      <x:c r="J42" s="2"/>
      <x:c r="K42" s="2"/>
      <x:c r="L42" s="2"/>
      <x:c r="M42" s="2"/>
      <x:c r="N42" s="2"/>
    </x:row>
    <x:row r="43" ht="23" customHeight="1">
      <x:c r="A43" s="2"/>
      <x:c r="B43" s="2"/>
      <x:c r="C43" s="2"/>
      <x:c r="D43" s="2"/>
      <x:c r="E43" s="2"/>
      <x:c r="F43" s="2"/>
      <x:c r="G43" s="2"/>
      <x:c r="H43" s="2"/>
      <x:c r="I43" s="2"/>
      <x:c r="J43" s="2"/>
      <x:c r="K43" s="2"/>
      <x:c r="L43" s="2"/>
      <x:c r="M43" s="2"/>
      <x:c r="N43" s="2"/>
    </x:row>
    <x:row r="44" ht="23" customHeight="1">
      <x:c r="A44" s="2"/>
      <x:c r="B44" s="2"/>
      <x:c r="C44" s="18" t="str">
        <x:v>B Full: incremental versus A</x:v>
      </x:c>
      <x:c r="D44" s="18"/>
      <x:c r="E44" s="18"/>
      <x:c r="F44" s="18"/>
      <x:c r="G44" s="18"/>
      <x:c r="H44" s="18"/>
      <x:c r="I44" s="18"/>
      <x:c r="J44" s="18"/>
      <x:c r="K44" s="18"/>
      <x:c r="L44" s="18"/>
      <x:c r="M44" s="18"/>
      <x:c r="N44" s="18"/>
    </x:row>
    <x:row r="45" ht="23" customHeight="1">
      <x:c r="A45" s="2"/>
      <x:c r="B45" s="2"/>
      <x:c r="C45" s="2" t="str">
        <x:v>Energy savings retained</x:v>
      </x:c>
      <x:c r="D45" s="28" t="n">
        <x:f>0</x:f>
        <x:v>0</x:v>
      </x:c>
      <x:c r="E45" s="29" t="n">
        <x:f>'Energy'!$G$20*'Energy'!E37*'Assumptions'!$E$22</x:f>
        <x:v>229440</x:v>
      </x:c>
      <x:c r="F45" s="29" t="n">
        <x:f>'Energy'!$G$20*'Energy'!F37*'Assumptions'!$E$22</x:f>
        <x:v>235176</x:v>
      </x:c>
      <x:c r="G45" s="29" t="n">
        <x:f>'Energy'!$G$20*'Energy'!G37*'Assumptions'!$E$22</x:f>
        <x:v>241055.4</x:v>
      </x:c>
      <x:c r="H45" s="29" t="n">
        <x:f>'Energy'!$G$20*'Energy'!H37*'Assumptions'!$E$22</x:f>
        <x:v>247081.78499999995</x:v>
      </x:c>
      <x:c r="I45" s="29" t="n">
        <x:f>'Energy'!$G$20*'Energy'!I37*'Assumptions'!$E$22</x:f>
        <x:v>253258.8296249999</x:v>
      </x:c>
      <x:c r="J45" s="29" t="n">
        <x:f>'Energy'!$G$20*'Energy'!J37*'Assumptions'!$E$22</x:f>
        <x:v>259590.30036562486</x:v>
      </x:c>
      <x:c r="K45" s="29" t="n">
        <x:f>'Energy'!$G$20*'Energy'!K37*'Assumptions'!$E$22</x:f>
        <x:v>266080.0578747655</x:v>
      </x:c>
      <x:c r="L45" s="29" t="n">
        <x:f>'Energy'!$G$20*'Energy'!L37*'Assumptions'!$E$22</x:f>
        <x:v>272732.05932163465</x:v>
      </x:c>
      <x:c r="M45" s="29" t="n">
        <x:f>'Energy'!$G$20*'Energy'!M37*'Assumptions'!$E$22</x:f>
        <x:v>279550.36080467544</x:v>
      </x:c>
      <x:c r="N45" s="29" t="n">
        <x:f>'Energy'!$G$20*'Energy'!N37*'Assumptions'!$E$22</x:f>
        <x:v>286539.1198247923</x:v>
      </x:c>
    </x:row>
    <x:row r="46" ht="23" customHeight="1">
      <x:c r="A46" s="2"/>
      <x:c r="B46" s="2"/>
      <x:c r="C46" s="2" t="str">
        <x:v>Maintenance savings retained</x:v>
      </x:c>
      <x:c r="D46" s="28" t="n">
        <x:f>0</x:f>
        <x:v>0</x:v>
      </x:c>
      <x:c r="E46" s="29" t="n">
        <x:f>('Energy'!$F$25-'Energy'!$G$25)*'Energy'!E38*'Assumptions'!$E$22</x:f>
        <x:v>195000</x:v>
      </x:c>
      <x:c r="F46" s="29" t="n">
        <x:f>('Energy'!$F$25-'Energy'!$G$25)*'Energy'!F38*'Assumptions'!$E$22</x:f>
        <x:v>199874.99999999997</x:v>
      </x:c>
      <x:c r="G46" s="29" t="n">
        <x:f>('Energy'!$F$25-'Energy'!$G$25)*'Energy'!G38*'Assumptions'!$E$22</x:f>
        <x:v>204871.87499999997</x:v>
      </x:c>
      <x:c r="H46" s="29" t="n">
        <x:f>('Energy'!$F$25-'Energy'!$G$25)*'Energy'!H38*'Assumptions'!$E$22</x:f>
        <x:v>209993.67187499994</x:v>
      </x:c>
      <x:c r="I46" s="29" t="n">
        <x:f>('Energy'!$F$25-'Energy'!$G$25)*'Energy'!I38*'Assumptions'!$E$22</x:f>
        <x:v>215243.5136718749</x:v>
      </x:c>
      <x:c r="J46" s="29" t="n">
        <x:f>('Energy'!$F$25-'Energy'!$G$25)*'Energy'!J38*'Assumptions'!$E$22</x:f>
        <x:v>220624.60151367178</x:v>
      </x:c>
      <x:c r="K46" s="29" t="n">
        <x:f>('Energy'!$F$25-'Energy'!$G$25)*'Energy'!K38*'Assumptions'!$E$22</x:f>
        <x:v>226140.21655151353</x:v>
      </x:c>
      <x:c r="L46" s="29" t="n">
        <x:f>('Energy'!$F$25-'Energy'!$G$25)*'Energy'!L38*'Assumptions'!$E$22</x:f>
        <x:v>231793.7219653014</x:v>
      </x:c>
      <x:c r="M46" s="29" t="n">
        <x:f>('Energy'!$F$25-'Energy'!$G$25)*'Energy'!M38*'Assumptions'!$E$22</x:f>
        <x:v>237588.56501443387</x:v>
      </x:c>
      <x:c r="N46" s="29" t="n">
        <x:f>('Energy'!$F$25-'Energy'!$G$25)*'Energy'!N38*'Assumptions'!$E$22</x:f>
        <x:v>243528.27913979473</x:v>
      </x:c>
    </x:row>
    <x:row r="47" ht="23" customHeight="1">
      <x:c r="A47" s="2"/>
      <x:c r="B47" s="2"/>
      <x:c r="C47" s="2" t="str">
        <x:v>Added analytics cost retained</x:v>
      </x:c>
      <x:c r="D47" s="28" t="n">
        <x:f>0</x:f>
        <x:v>0</x:v>
      </x:c>
      <x:c r="E47" s="29" t="n">
        <x:f>-'Energy'!$G$26*'Energy'!E38*'Assumptions'!$E$22</x:f>
        <x:v>-25000</x:v>
      </x:c>
      <x:c r="F47" s="29" t="n">
        <x:f>-'Energy'!$G$26*'Energy'!F38*'Assumptions'!$E$22</x:f>
        <x:v>-25624.999999999996</x:v>
      </x:c>
      <x:c r="G47" s="29" t="n">
        <x:f>-'Energy'!$G$26*'Energy'!G38*'Assumptions'!$E$22</x:f>
        <x:v>-26265.624999999996</x:v>
      </x:c>
      <x:c r="H47" s="29" t="n">
        <x:f>-'Energy'!$G$26*'Energy'!H38*'Assumptions'!$E$22</x:f>
        <x:v>-26922.265624999993</x:v>
      </x:c>
      <x:c r="I47" s="29" t="n">
        <x:f>-'Energy'!$G$26*'Energy'!I38*'Assumptions'!$E$22</x:f>
        <x:v>-27595.32226562499</x:v>
      </x:c>
      <x:c r="J47" s="29" t="n">
        <x:f>-'Energy'!$G$26*'Energy'!J38*'Assumptions'!$E$22</x:f>
        <x:v>-28285.20532226561</x:v>
      </x:c>
      <x:c r="K47" s="29" t="n">
        <x:f>-'Energy'!$G$26*'Energy'!K38*'Assumptions'!$E$22</x:f>
        <x:v>-28992.33545532225</x:v>
      </x:c>
      <x:c r="L47" s="29" t="n">
        <x:f>-'Energy'!$G$26*'Energy'!L38*'Assumptions'!$E$22</x:f>
        <x:v>-29717.143841705307</x:v>
      </x:c>
      <x:c r="M47" s="29" t="n">
        <x:f>-'Energy'!$G$26*'Energy'!M38*'Assumptions'!$E$22</x:f>
        <x:v>-30460.07243774793</x:v>
      </x:c>
      <x:c r="N47" s="29" t="n">
        <x:f>-'Energy'!$G$26*'Energy'!N38*'Assumptions'!$E$22</x:f>
        <x:v>-31221.57424869163</x:v>
      </x:c>
    </x:row>
    <x:row r="48" ht="23" customHeight="1">
      <x:c r="A48" s="2"/>
      <x:c r="B48" s="2"/>
      <x:c r="C48" s="18" t="str">
        <x:v>Pretax operating savings</x:v>
      </x:c>
      <x:c r="D48" s="32" t="n">
        <x:f>SUM(D45:D47)</x:f>
        <x:v>0</x:v>
      </x:c>
      <x:c r="E48" s="32" t="n">
        <x:f>SUM(E45:E47)</x:f>
        <x:v>399440</x:v>
      </x:c>
      <x:c r="F48" s="32" t="n">
        <x:f>SUM(F45:F47)</x:f>
        <x:v>409426</x:v>
      </x:c>
      <x:c r="G48" s="32" t="n">
        <x:f>SUM(G45:G47)</x:f>
        <x:v>419661.64999999997</x:v>
      </x:c>
      <x:c r="H48" s="32" t="n">
        <x:f>SUM(H45:H47)</x:f>
        <x:v>430153.1912499999</x:v>
      </x:c>
      <x:c r="I48" s="32" t="n">
        <x:f>SUM(I45:I47)</x:f>
        <x:v>440907.0210312498</x:v>
      </x:c>
      <x:c r="J48" s="32" t="n">
        <x:f>SUM(J45:J47)</x:f>
        <x:v>451929.696557031</x:v>
      </x:c>
      <x:c r="K48" s="32" t="n">
        <x:f>SUM(K45:K47)</x:f>
        <x:v>463227.9389709568</x:v>
      </x:c>
      <x:c r="L48" s="32" t="n">
        <x:f>SUM(L45:L47)</x:f>
        <x:v>474808.63744523074</x:v>
      </x:c>
      <x:c r="M48" s="32" t="n">
        <x:f>SUM(M45:M47)</x:f>
        <x:v>486678.8533813614</x:v>
      </x:c>
      <x:c r="N48" s="32" t="n">
        <x:f>SUM(N45:N47)</x:f>
        <x:v>498845.8247158954</x:v>
      </x:c>
    </x:row>
    <x:row r="49" ht="23" customHeight="1">
      <x:c r="A49" s="2"/>
      <x:c r="B49" s="2"/>
      <x:c r="C49" s="2" t="str">
        <x:v>Incremental tax depreciation</x:v>
      </x:c>
      <x:c r="D49" s="29" t="n">
        <x:f>'Tax'!D35-'Tax'!D19</x:f>
        <x:v>0</x:v>
      </x:c>
      <x:c r="E49" s="29" t="n">
        <x:f>'Tax'!E35-'Tax'!E19</x:f>
        <x:v>126634.61538461539</x:v>
      </x:c>
      <x:c r="F49" s="29" t="n">
        <x:f>'Tax'!F35-'Tax'!F19</x:f>
        <x:v>134923.07692307694</x:v>
      </x:c>
      <x:c r="G49" s="29" t="n">
        <x:f>'Tax'!G35-'Tax'!G19</x:f>
        <x:v>130825.10683760686</x:v>
      </x:c>
      <x:c r="H49" s="29" t="n">
        <x:f>'Tax'!H35-'Tax'!H19</x:f>
        <x:v>108251.79487179487</x:v>
      </x:c>
      <x:c r="I49" s="29" t="n">
        <x:f>'Tax'!I35-'Tax'!I19</x:f>
        <x:v>108251.79487179487</x:v>
      </x:c>
      <x:c r="J49" s="29" t="n">
        <x:f>'Tax'!J35-'Tax'!J19</x:f>
        <x:v>106811.79487179487</x:v>
      </x:c>
      <x:c r="K49" s="29" t="n">
        <x:f>'Tax'!K35-'Tax'!K19</x:f>
        <x:v>104814.24995919253</x:v>
      </x:c>
      <x:c r="L49" s="29" t="n">
        <x:f>'Tax'!L35-'Tax'!L19</x:f>
        <x:v>91990.71696933845</x:v>
      </x:c>
      <x:c r="M49" s="29" t="n">
        <x:f>'Tax'!M35-'Tax'!M19</x:f>
        <x:v>91990.71696933845</x:v>
      </x:c>
      <x:c r="N49" s="29" t="n">
        <x:f>'Tax'!N35-'Tax'!N19</x:f>
        <x:v>91990.71696933845</x:v>
      </x:c>
    </x:row>
    <x:row r="50" ht="23" customHeight="1">
      <x:c r="A50" s="2"/>
      <x:c r="B50" s="2"/>
      <x:c r="C50" s="2" t="str">
        <x:v>Taxable operating benefit</x:v>
      </x:c>
      <x:c r="D50" s="28" t="n">
        <x:f>D48-D49</x:f>
        <x:v>0</x:v>
      </x:c>
      <x:c r="E50" s="28" t="n">
        <x:f>E48-E49</x:f>
        <x:v>272805.3846153846</x:v>
      </x:c>
      <x:c r="F50" s="28" t="n">
        <x:f>F48-F49</x:f>
        <x:v>274502.92307692306</x:v>
      </x:c>
      <x:c r="G50" s="28" t="n">
        <x:f>G48-G49</x:f>
        <x:v>288836.5431623931</x:v>
      </x:c>
      <x:c r="H50" s="28" t="n">
        <x:f>H48-H49</x:f>
        <x:v>321901.39637820504</x:v>
      </x:c>
      <x:c r="I50" s="28" t="n">
        <x:f>I48-I49</x:f>
        <x:v>332655.2261594549</x:v>
      </x:c>
      <x:c r="J50" s="28" t="n">
        <x:f>J48-J49</x:f>
        <x:v>345117.90168523614</x:v>
      </x:c>
      <x:c r="K50" s="28" t="n">
        <x:f>K48-K49</x:f>
        <x:v>358413.68901176425</x:v>
      </x:c>
      <x:c r="L50" s="28" t="n">
        <x:f>L48-L49</x:f>
        <x:v>382817.92047589226</x:v>
      </x:c>
      <x:c r="M50" s="28" t="n">
        <x:f>M48-M49</x:f>
        <x:v>394688.136412023</x:v>
      </x:c>
      <x:c r="N50" s="28" t="n">
        <x:f>N48-N49</x:f>
        <x:v>406855.107746557</x:v>
      </x:c>
    </x:row>
    <x:row r="51" ht="23" customHeight="1">
      <x:c r="A51" s="2"/>
      <x:c r="B51" s="2"/>
      <x:c r="C51" s="2" t="str">
        <x:v>Incremental tax cash flow</x:v>
      </x:c>
      <x:c r="D51" s="29" t="n">
        <x:f>-D50*'Assumptions'!$E$18</x:f>
        <x:v>0</x:v>
      </x:c>
      <x:c r="E51" s="29" t="n">
        <x:f>-E50*'Assumptions'!$E$18</x:f>
        <x:v>-76385.5076923077</x:v>
      </x:c>
      <x:c r="F51" s="29" t="n">
        <x:f>-F50*'Assumptions'!$E$18</x:f>
        <x:v>-76860.81846153847</x:v>
      </x:c>
      <x:c r="G51" s="29" t="n">
        <x:f>-G50*'Assumptions'!$E$18</x:f>
        <x:v>-80874.23208547007</x:v>
      </x:c>
      <x:c r="H51" s="29" t="n">
        <x:f>-H50*'Assumptions'!$E$18</x:f>
        <x:v>-90132.39098589742</x:v>
      </x:c>
      <x:c r="I51" s="29" t="n">
        <x:f>-I50*'Assumptions'!$E$18</x:f>
        <x:v>-93143.46332464738</x:v>
      </x:c>
      <x:c r="J51" s="29" t="n">
        <x:f>-J50*'Assumptions'!$E$18</x:f>
        <x:v>-96633.01247186612</x:v>
      </x:c>
      <x:c r="K51" s="29" t="n">
        <x:f>-K50*'Assumptions'!$E$18</x:f>
        <x:v>-100355.832923294</x:v>
      </x:c>
      <x:c r="L51" s="29" t="n">
        <x:f>-L50*'Assumptions'!$E$18</x:f>
        <x:v>-107189.01773324984</x:v>
      </x:c>
      <x:c r="M51" s="29" t="n">
        <x:f>-M50*'Assumptions'!$E$18</x:f>
        <x:v>-110512.67819536645</x:v>
      </x:c>
      <x:c r="N51" s="29" t="n">
        <x:f>-N50*'Assumptions'!$E$18</x:f>
        <x:v>-113919.43016903597</x:v>
      </x:c>
    </x:row>
    <x:row r="52" ht="23" customHeight="1">
      <x:c r="A52" s="2"/>
      <x:c r="B52" s="2"/>
      <x:c r="C52" s="2" t="str">
        <x:v>Training tax benefit</x:v>
      </x:c>
      <x:c r="D52" s="29" t="n">
        <x:f>'Tax'!D29*'Assumptions'!$E$18</x:f>
        <x:v>0</x:v>
      </x:c>
      <x:c r="E52" s="29" t="n">
        <x:f>'Tax'!E29*'Assumptions'!$E$18</x:f>
        <x:v>7000.000000000001</x:v>
      </x:c>
      <x:c r="F52" s="29" t="n">
        <x:f>'Tax'!F29*'Assumptions'!$E$18</x:f>
        <x:v>0</x:v>
      </x:c>
      <x:c r="G52" s="29" t="n">
        <x:f>'Tax'!G29*'Assumptions'!$E$18</x:f>
        <x:v>0</x:v>
      </x:c>
      <x:c r="H52" s="29" t="n">
        <x:f>'Tax'!H29*'Assumptions'!$E$18</x:f>
        <x:v>0</x:v>
      </x:c>
      <x:c r="I52" s="29" t="n">
        <x:f>'Tax'!I29*'Assumptions'!$E$18</x:f>
        <x:v>0</x:v>
      </x:c>
      <x:c r="J52" s="29" t="n">
        <x:f>'Tax'!J29*'Assumptions'!$E$18</x:f>
        <x:v>0</x:v>
      </x:c>
      <x:c r="K52" s="29" t="n">
        <x:f>'Tax'!K29*'Assumptions'!$E$18</x:f>
        <x:v>0</x:v>
      </x:c>
      <x:c r="L52" s="29" t="n">
        <x:f>'Tax'!L29*'Assumptions'!$E$18</x:f>
        <x:v>0</x:v>
      </x:c>
      <x:c r="M52" s="29" t="n">
        <x:f>'Tax'!M29*'Assumptions'!$E$18</x:f>
        <x:v>0</x:v>
      </x:c>
      <x:c r="N52" s="29" t="n">
        <x:f>'Tax'!N29*'Assumptions'!$E$18</x:f>
        <x:v>0</x:v>
      </x:c>
    </x:row>
    <x:row r="53" ht="23" customHeight="1">
      <x:c r="A53" s="2"/>
      <x:c r="B53" s="2"/>
      <x:c r="C53" s="2" t="str">
        <x:v>Incremental capital cash flow</x:v>
      </x:c>
      <x:c r="D53" s="29" t="n">
        <x:f>-'CapEx'!F28</x:f>
        <x:v>-5000000</x:v>
      </x:c>
      <x:c r="E53" s="29" t="n">
        <x:f>'Tax'!E16-'Tax'!E32</x:f>
        <x:v>0</x:v>
      </x:c>
      <x:c r="F53" s="29" t="n">
        <x:f>'Tax'!F16-'Tax'!F32</x:f>
        <x:v>0</x:v>
      </x:c>
      <x:c r="G53" s="29" t="n">
        <x:f>'Tax'!G16-'Tax'!G32</x:f>
        <x:v>840499.9999999999</x:v>
      </x:c>
      <x:c r="H53" s="29" t="n">
        <x:f>'Tax'!H16-'Tax'!H32</x:f>
        <x:v>0</x:v>
      </x:c>
      <x:c r="I53" s="29" t="n">
        <x:f>'Tax'!I16-'Tax'!I32</x:f>
        <x:v>0</x:v>
      </x:c>
      <x:c r="J53" s="29" t="n">
        <x:f>'Tax'!J16-'Tax'!J32</x:f>
        <x:v>0</x:v>
      </x:c>
      <x:c r="K53" s="29" t="n">
        <x:f>'Tax'!K16-'Tax'!K32</x:f>
        <x:v>521862.0381958005</x:v>
      </x:c>
      <x:c r="L53" s="29" t="n">
        <x:f>'Tax'!L16-'Tax'!L32</x:f>
        <x:v>0</x:v>
      </x:c>
      <x:c r="M53" s="29" t="n">
        <x:f>'Tax'!M16-'Tax'!M32</x:f>
        <x:v>0</x:v>
      </x:c>
      <x:c r="N53" s="29" t="n">
        <x:f>'Tax'!N16-'Tax'!N32</x:f>
        <x:v>0</x:v>
      </x:c>
    </x:row>
    <x:row r="54" ht="23" customHeight="1">
      <x:c r="A54" s="2"/>
      <x:c r="B54" s="2"/>
      <x:c r="C54" s="18" t="str">
        <x:v>Incremental free cash flow</x:v>
      </x:c>
      <x:c r="D54" s="32" t="n">
        <x:f>SUM(D48,D51:D53)</x:f>
        <x:v>-5000000</x:v>
      </x:c>
      <x:c r="E54" s="32" t="n">
        <x:f>SUM(E48,E51:E53)</x:f>
        <x:v>330054.4923076923</x:v>
      </x:c>
      <x:c r="F54" s="32" t="n">
        <x:f>SUM(F48,F51:F53)</x:f>
        <x:v>332565.18153846153</x:v>
      </x:c>
      <x:c r="G54" s="32" t="n">
        <x:f>SUM(G48,G51:G53)</x:f>
        <x:v>1179287.4179145298</x:v>
      </x:c>
      <x:c r="H54" s="32" t="n">
        <x:f>SUM(H48,H51:H53)</x:f>
        <x:v>340020.8002641025</x:v>
      </x:c>
      <x:c r="I54" s="32" t="n">
        <x:f>SUM(I48,I51:I53)</x:f>
        <x:v>347763.5577066024</x:v>
      </x:c>
      <x:c r="J54" s="32" t="n">
        <x:f>SUM(J48,J51:J53)</x:f>
        <x:v>355296.6840851649</x:v>
      </x:c>
      <x:c r="K54" s="32" t="n">
        <x:f>SUM(K48,K51:K53)</x:f>
        <x:v>884734.1442434633</x:v>
      </x:c>
      <x:c r="L54" s="32" t="n">
        <x:f>SUM(L48,L51:L53)</x:f>
        <x:v>367619.6197119809</x:v>
      </x:c>
      <x:c r="M54" s="32" t="n">
        <x:f>SUM(M48,M51:M53)</x:f>
        <x:v>376166.17518599494</x:v>
      </x:c>
      <x:c r="N54" s="32" t="n">
        <x:f>SUM(N48,N51:N53)</x:f>
        <x:v>384926.39454685943</x:v>
      </x:c>
    </x:row>
    <x:row r="55" ht="23" customHeight="1">
      <x:c r="A55" s="2"/>
      <x:c r="B55" s="2"/>
      <x:c r="C55" s="2" t="str">
        <x:v>Cumulative free cash flow</x:v>
      </x:c>
      <x:c r="D55" s="28" t="n">
        <x:f>D54</x:f>
        <x:v>-5000000</x:v>
      </x:c>
      <x:c r="E55" s="28" t="n">
        <x:f>D55+E54</x:f>
        <x:v>-4669945.507692307</x:v>
      </x:c>
      <x:c r="F55" s="28" t="n">
        <x:f>E55+F54</x:f>
        <x:v>-4337380.3261538455</x:v>
      </x:c>
      <x:c r="G55" s="28" t="n">
        <x:f>F55+G54</x:f>
        <x:v>-3158092.9082393157</x:v>
      </x:c>
      <x:c r="H55" s="28" t="n">
        <x:f>G55+H54</x:f>
        <x:v>-2818072.1079752133</x:v>
      </x:c>
      <x:c r="I55" s="28" t="n">
        <x:f>H55+I54</x:f>
        <x:v>-2470308.550268611</x:v>
      </x:c>
      <x:c r="J55" s="28" t="n">
        <x:f>I55+J54</x:f>
        <x:v>-2115011.866183446</x:v>
      </x:c>
      <x:c r="K55" s="28" t="n">
        <x:f>J55+K54</x:f>
        <x:v>-1230277.7219399824</x:v>
      </x:c>
      <x:c r="L55" s="28" t="n">
        <x:f>K55+L54</x:f>
        <x:v>-862658.1022280015</x:v>
      </x:c>
      <x:c r="M55" s="28" t="n">
        <x:f>L55+M54</x:f>
        <x:v>-486491.9270420065</x:v>
      </x:c>
      <x:c r="N55" s="28" t="n">
        <x:f>M55+N54</x:f>
        <x:v>-101565.53249514708</x:v>
      </x:c>
    </x:row>
    <x:row r="56" ht="23" customHeight="1">
      <x:c r="A56" s="2"/>
      <x:c r="B56" s="2"/>
      <x:c r="C56" s="2" t="str">
        <x:v>Dated discount factor</x:v>
      </x:c>
      <x:c r="D56" s="49" t="n">
        <x:f>1/(1+'Assumptions'!$E$80)^((D$8-$D$8)/365)</x:f>
        <x:v>1</x:v>
      </x:c>
      <x:c r="E56" s="49" t="n">
        <x:f>1/(1+'Assumptions'!$E$80)^((E$8-$D$8)/365)</x:f>
        <x:v>0.9216589861751152</x:v>
      </x:c>
      <x:c r="F56" s="49" t="n">
        <x:f>1/(1+'Assumptions'!$E$80)^((F$8-$D$8)/365)</x:f>
        <x:v>0.8492654489686419</x:v>
      </x:c>
      <x:c r="G56" s="49" t="n">
        <x:f>1/(1+'Assumptions'!$E$80)^((G$8-$D$8)/365)</x:f>
        <x:v>0.7827331326899925</x:v>
      </x:c>
      <x:c r="H56" s="49" t="n">
        <x:f>1/(1+'Assumptions'!$E$80)^((H$8-$D$8)/365)</x:f>
        <x:v>0.7214130255207304</x:v>
      </x:c>
      <x:c r="I56" s="49" t="n">
        <x:f>1/(1+'Assumptions'!$E$80)^((I$8-$D$8)/365)</x:f>
        <x:v>0.6648967977149589</x:v>
      </x:c>
      <x:c r="J56" s="49" t="n">
        <x:f>1/(1+'Assumptions'!$E$80)^((J$8-$D$8)/365)</x:f>
        <x:v>0.6126711570106893</x:v>
      </x:c>
      <x:c r="K56" s="49" t="n">
        <x:f>1/(1+'Assumptions'!$E$80)^((K$8-$D$8)/365)</x:f>
        <x:v>0.5646738774292067</x:v>
      </x:c>
      <x:c r="L56" s="49" t="n">
        <x:f>1/(1+'Assumptions'!$E$80)^((L$8-$D$8)/365)</x:f>
        <x:v>0.520436753390974</x:v>
      </x:c>
      <x:c r="M56" s="49" t="n">
        <x:f>1/(1+'Assumptions'!$E$80)^((M$8-$D$8)/365)</x:f>
        <x:v>0.47966521049859356</x:v>
      </x:c>
      <x:c r="N56" s="49" t="n">
        <x:f>1/(1+'Assumptions'!$E$80)^((N$8-$D$8)/365)</x:f>
        <x:v>0.4419889530283678</x:v>
      </x:c>
    </x:row>
    <x:row r="57" ht="23" customHeight="1">
      <x:c r="A57" s="2"/>
      <x:c r="B57" s="2"/>
      <x:c r="C57" s="2" t="str">
        <x:v>Discounted free cash flow</x:v>
      </x:c>
      <x:c r="D57" s="28" t="n">
        <x:f>D54*D56</x:f>
        <x:v>-5000000</x:v>
      </x:c>
      <x:c r="E57" s="28" t="n">
        <x:f>E54*E56</x:f>
        <x:v>304197.68876285007</x:v>
      </x:c>
      <x:c r="F57" s="28" t="n">
        <x:f>F54*F56</x:f>
        <x:v>282436.1182105994</x:v>
      </x:c>
      <x:c r="G57" s="28" t="n">
        <x:f>G54*G56</x:f>
        <x:v>923067.3349661322</x:v>
      </x:c>
      <x:c r="H57" s="28" t="n">
        <x:f>H54*H56</x:f>
        <x:v>245295.43425850617</x:v>
      </x:c>
      <x:c r="I57" s="28" t="n">
        <x:f>I54*I56</x:f>
        <x:v>231226.87588108124</x:v>
      </x:c>
      <x:c r="J57" s="28" t="n">
        <x:f>J54*J56</x:f>
        <x:v>217680.03052051936</x:v>
      </x:c>
      <x:c r="K57" s="28" t="n">
        <x:f>K54*K56</x:f>
        <x:v>499586.25972396747</x:v>
      </x:c>
      <x:c r="L57" s="28" t="n">
        <x:f>L54*L56</x:f>
        <x:v>191322.76136572784</x:v>
      </x:c>
      <x:c r="M57" s="28" t="n">
        <x:f>M54*M56</x:f>
        <x:v>180433.82760304108</x:v>
      </x:c>
      <x:c r="N57" s="28" t="n">
        <x:f>N54*N56</x:f>
        <x:v>170133.21411875082</x:v>
      </x:c>
    </x:row>
    <x:row r="58" ht="23" customHeight="1">
      <x:c r="A58" s="2"/>
      <x:c r="B58" s="2"/>
      <x:c r="C58" s="18" t="str">
        <x:v>Cumulative discounted free cash flow</x:v>
      </x:c>
      <x:c r="D58" s="32" t="n">
        <x:f>D57</x:f>
        <x:v>-5000000</x:v>
      </x:c>
      <x:c r="E58" s="32" t="n">
        <x:f>D58+E57</x:f>
        <x:v>-4695802.31123715</x:v>
      </x:c>
      <x:c r="F58" s="32" t="n">
        <x:f>E58+F57</x:f>
        <x:v>-4413366.19302655</x:v>
      </x:c>
      <x:c r="G58" s="32" t="n">
        <x:f>F58+G57</x:f>
        <x:v>-3490298.8580604177</x:v>
      </x:c>
      <x:c r="H58" s="32" t="n">
        <x:f>G58+H57</x:f>
        <x:v>-3245003.4238019115</x:v>
      </x:c>
      <x:c r="I58" s="32" t="n">
        <x:f>H58+I57</x:f>
        <x:v>-3013776.54792083</x:v>
      </x:c>
      <x:c r="J58" s="32" t="n">
        <x:f>I58+J57</x:f>
        <x:v>-2796096.517400311</x:v>
      </x:c>
      <x:c r="K58" s="32" t="n">
        <x:f>J58+K57</x:f>
        <x:v>-2296510.2576763434</x:v>
      </x:c>
      <x:c r="L58" s="32" t="n">
        <x:f>K58+L57</x:f>
        <x:v>-2105187.4963106154</x:v>
      </x:c>
      <x:c r="M58" s="32" t="n">
        <x:f>L58+M57</x:f>
        <x:v>-1924753.6687075743</x:v>
      </x:c>
      <x:c r="N58" s="32" t="n">
        <x:f>M58+N57</x:f>
        <x:v>-1754620.4545888235</x:v>
      </x:c>
    </x:row>
    <x:row r="59" ht="23" customHeight="1">
      <x:c r="A59" s="2"/>
      <x:c r="B59" s="2"/>
      <x:c r="C59" s="2" t="str">
        <x:v>Payback crossing (years)</x:v>
      </x:c>
      <x:c r="D59" s="50" t="n">
        <x:f>99</x:f>
        <x:v>99</x:v>
      </x:c>
      <x:c r="E59" s="50" t="n">
        <x:f>IF(AND(D55&lt;0,E55&gt;=0),E$7-1-D55/E54,99)</x:f>
        <x:v>99</x:v>
      </x:c>
      <x:c r="F59" s="50" t="n">
        <x:f>IF(AND(E55&lt;0,F55&gt;=0),F$7-1-E55/F54,99)</x:f>
        <x:v>99</x:v>
      </x:c>
      <x:c r="G59" s="50" t="n">
        <x:f>IF(AND(F55&lt;0,G55&gt;=0),G$7-1-F55/G54,99)</x:f>
        <x:v>99</x:v>
      </x:c>
      <x:c r="H59" s="50" t="n">
        <x:f>IF(AND(G55&lt;0,H55&gt;=0),H$7-1-G55/H54,99)</x:f>
        <x:v>99</x:v>
      </x:c>
      <x:c r="I59" s="50" t="n">
        <x:f>IF(AND(H55&lt;0,I55&gt;=0),I$7-1-H55/I54,99)</x:f>
        <x:v>99</x:v>
      </x:c>
      <x:c r="J59" s="50" t="n">
        <x:f>IF(AND(I55&lt;0,J55&gt;=0),J$7-1-I55/J54,99)</x:f>
        <x:v>99</x:v>
      </x:c>
      <x:c r="K59" s="50" t="n">
        <x:f>IF(AND(J55&lt;0,K55&gt;=0),K$7-1-J55/K54,99)</x:f>
        <x:v>99</x:v>
      </x:c>
      <x:c r="L59" s="50" t="n">
        <x:f>IF(AND(K55&lt;0,L55&gt;=0),L$7-1-K55/L54,99)</x:f>
        <x:v>99</x:v>
      </x:c>
      <x:c r="M59" s="50" t="n">
        <x:f>IF(AND(L55&lt;0,M55&gt;=0),M$7-1-L55/M54,99)</x:f>
        <x:v>99</x:v>
      </x:c>
      <x:c r="N59" s="50" t="n">
        <x:f>IF(AND(M55&lt;0,N55&gt;=0),N$7-1-M55/N54,99)</x:f>
        <x:v>99</x:v>
      </x:c>
    </x:row>
    <x:row r="60" ht="23" customHeight="1">
      <x:c r="A60" s="2"/>
      <x:c r="B60" s="2"/>
      <x:c r="C60" s="2" t="str">
        <x:v>Discounted crossing (years)</x:v>
      </x:c>
      <x:c r="D60" s="50" t="n">
        <x:f>99</x:f>
        <x:v>99</x:v>
      </x:c>
      <x:c r="E60" s="50" t="n">
        <x:f>IF(AND(D58&lt;0,E58&gt;=0),E$7-1-D58/E57,99)</x:f>
        <x:v>99</x:v>
      </x:c>
      <x:c r="F60" s="50" t="n">
        <x:f>IF(AND(E58&lt;0,F58&gt;=0),F$7-1-E58/F57,99)</x:f>
        <x:v>99</x:v>
      </x:c>
      <x:c r="G60" s="50" t="n">
        <x:f>IF(AND(F58&lt;0,G58&gt;=0),G$7-1-F58/G57,99)</x:f>
        <x:v>99</x:v>
      </x:c>
      <x:c r="H60" s="50" t="n">
        <x:f>IF(AND(G58&lt;0,H58&gt;=0),H$7-1-G58/H57,99)</x:f>
        <x:v>99</x:v>
      </x:c>
      <x:c r="I60" s="50" t="n">
        <x:f>IF(AND(H58&lt;0,I58&gt;=0),I$7-1-H58/I57,99)</x:f>
        <x:v>99</x:v>
      </x:c>
      <x:c r="J60" s="50" t="n">
        <x:f>IF(AND(I58&lt;0,J58&gt;=0),J$7-1-I58/J57,99)</x:f>
        <x:v>99</x:v>
      </x:c>
      <x:c r="K60" s="50" t="n">
        <x:f>IF(AND(J58&lt;0,K58&gt;=0),K$7-1-J58/K57,99)</x:f>
        <x:v>99</x:v>
      </x:c>
      <x:c r="L60" s="50" t="n">
        <x:f>IF(AND(K58&lt;0,L58&gt;=0),L$7-1-K58/L57,99)</x:f>
        <x:v>99</x:v>
      </x:c>
      <x:c r="M60" s="50" t="n">
        <x:f>IF(AND(L58&lt;0,M58&gt;=0),M$7-1-L58/M57,99)</x:f>
        <x:v>99</x:v>
      </x:c>
      <x:c r="N60" s="50" t="n">
        <x:f>IF(AND(M58&lt;0,N58&gt;=0),N$7-1-M58/N57,99)</x:f>
        <x:v>99</x:v>
      </x:c>
    </x:row>
    <x:row r="61" ht="23" customHeight="1">
      <x:c r="A61" s="2"/>
      <x:c r="B61" s="2"/>
      <x:c r="C61" s="2"/>
      <x:c r="D61" s="2"/>
      <x:c r="E61" s="2"/>
      <x:c r="F61" s="2"/>
      <x:c r="G61" s="2"/>
      <x:c r="H61" s="2"/>
      <x:c r="I61" s="2"/>
      <x:c r="J61" s="2"/>
      <x:c r="K61" s="2"/>
      <x:c r="L61" s="2"/>
      <x:c r="M61" s="2"/>
      <x:c r="N61" s="2"/>
    </x:row>
    <x:row r="62" ht="23" customHeight="1">
      <x:c r="A62" s="2"/>
      <x:c r="B62" s="2"/>
      <x:c r="C62" s="2"/>
      <x:c r="D62" s="2"/>
      <x:c r="E62" s="2"/>
      <x:c r="F62" s="2"/>
      <x:c r="G62" s="2"/>
      <x:c r="H62" s="2"/>
      <x:c r="I62" s="2"/>
      <x:c r="J62" s="2"/>
      <x:c r="K62" s="2"/>
      <x:c r="L62" s="2"/>
      <x:c r="M62" s="2"/>
      <x:c r="N62" s="2"/>
    </x:row>
    <x:row r="63" ht="23" customHeight="1">
      <x:c r="A63" s="2"/>
      <x:c r="B63" s="2"/>
      <x:c r="C63" s="2"/>
      <x:c r="D63" s="2"/>
      <x:c r="E63" s="2"/>
      <x:c r="F63" s="2"/>
      <x:c r="G63" s="2"/>
      <x:c r="H63" s="2"/>
      <x:c r="I63" s="2"/>
      <x:c r="J63" s="2"/>
      <x:c r="K63" s="2"/>
      <x:c r="L63" s="2"/>
      <x:c r="M63" s="2"/>
      <x:c r="N63" s="2"/>
    </x:row>
    <x:row r="64" ht="23" customHeight="1">
      <x:c r="A64" s="2"/>
      <x:c r="B64" s="2"/>
      <x:c r="C64" s="2"/>
      <x:c r="D64" s="2"/>
      <x:c r="E64" s="2"/>
      <x:c r="F64" s="2"/>
      <x:c r="G64" s="2"/>
      <x:c r="H64" s="2"/>
      <x:c r="I64" s="2"/>
      <x:c r="J64" s="2"/>
      <x:c r="K64" s="2"/>
      <x:c r="L64" s="2"/>
      <x:c r="M64" s="2"/>
      <x:c r="N64" s="2"/>
    </x:row>
    <x:row r="65" ht="23" customHeight="1">
      <x:c r="A65" s="2"/>
      <x:c r="B65" s="2"/>
      <x:c r="C65" s="2"/>
      <x:c r="D65" s="2"/>
      <x:c r="E65" s="2"/>
      <x:c r="F65" s="2"/>
      <x:c r="G65" s="2"/>
      <x:c r="H65" s="2"/>
      <x:c r="I65" s="2"/>
      <x:c r="J65" s="2"/>
      <x:c r="K65" s="2"/>
      <x:c r="L65" s="2"/>
      <x:c r="M65" s="2"/>
      <x:c r="N65" s="2"/>
    </x:row>
    <x:row r="66" ht="23" customHeight="1">
      <x:c r="A66" s="2"/>
      <x:c r="B66" s="2"/>
      <x:c r="C66" s="18" t="str">
        <x:v>C Partial: incremental versus A</x:v>
      </x:c>
      <x:c r="D66" s="18"/>
      <x:c r="E66" s="18"/>
      <x:c r="F66" s="18"/>
      <x:c r="G66" s="18"/>
      <x:c r="H66" s="18"/>
      <x:c r="I66" s="18"/>
      <x:c r="J66" s="18"/>
      <x:c r="K66" s="18"/>
      <x:c r="L66" s="18"/>
      <x:c r="M66" s="18"/>
      <x:c r="N66" s="18"/>
    </x:row>
    <x:row r="67" ht="23" customHeight="1">
      <x:c r="A67" s="2"/>
      <x:c r="B67" s="2"/>
      <x:c r="C67" s="2" t="str">
        <x:v>Energy savings retained</x:v>
      </x:c>
      <x:c r="D67" s="28" t="n">
        <x:f>0</x:f>
        <x:v>0</x:v>
      </x:c>
      <x:c r="E67" s="29" t="n">
        <x:f>'Energy'!$H$20*'Energy'!E37*'Assumptions'!$E$22</x:f>
        <x:v>95400</x:v>
      </x:c>
      <x:c r="F67" s="29" t="n">
        <x:f>'Energy'!$H$20*'Energy'!F37*'Assumptions'!$E$22</x:f>
        <x:v>97785</x:v>
      </x:c>
      <x:c r="G67" s="29" t="n">
        <x:f>'Energy'!$H$20*'Energy'!G37*'Assumptions'!$E$22</x:f>
        <x:v>100229.625</x:v>
      </x:c>
      <x:c r="H67" s="29" t="n">
        <x:f>'Energy'!$H$20*'Energy'!H37*'Assumptions'!$E$22</x:f>
        <x:v>102735.36562499998</x:v>
      </x:c>
      <x:c r="I67" s="29" t="n">
        <x:f>'Energy'!$H$20*'Energy'!I37*'Assumptions'!$E$22</x:f>
        <x:v>105303.74976562496</x:v>
      </x:c>
      <x:c r="J67" s="29" t="n">
        <x:f>'Energy'!$H$20*'Energy'!J37*'Assumptions'!$E$22</x:f>
        <x:v>107936.34350976557</x:v>
      </x:c>
      <x:c r="K67" s="29" t="n">
        <x:f>'Energy'!$H$20*'Energy'!K37*'Assumptions'!$E$22</x:f>
        <x:v>110634.7520975097</x:v>
      </x:c>
      <x:c r="L67" s="29" t="n">
        <x:f>'Energy'!$H$20*'Energy'!L37*'Assumptions'!$E$22</x:f>
        <x:v>113400.62089994745</x:v>
      </x:c>
      <x:c r="M67" s="29" t="n">
        <x:f>'Energy'!$H$20*'Energy'!M37*'Assumptions'!$E$22</x:f>
        <x:v>116235.63642244611</x:v>
      </x:c>
      <x:c r="N67" s="29" t="n">
        <x:f>'Energy'!$H$20*'Energy'!N37*'Assumptions'!$E$22</x:f>
        <x:v>119141.52733300727</x:v>
      </x:c>
    </x:row>
    <x:row r="68" ht="23" customHeight="1">
      <x:c r="A68" s="2"/>
      <x:c r="B68" s="2"/>
      <x:c r="C68" s="2" t="str">
        <x:v>Maintenance savings retained</x:v>
      </x:c>
      <x:c r="D68" s="28" t="n">
        <x:f>0</x:f>
        <x:v>0</x:v>
      </x:c>
      <x:c r="E68" s="29" t="n">
        <x:f>('Energy'!$F$25-'Energy'!$H$25)*'Energy'!E38*'Assumptions'!$E$22</x:f>
        <x:v>110000</x:v>
      </x:c>
      <x:c r="F68" s="29" t="n">
        <x:f>('Energy'!$F$25-'Energy'!$H$25)*'Energy'!F38*'Assumptions'!$E$22</x:f>
        <x:v>112749.99999999999</x:v>
      </x:c>
      <x:c r="G68" s="29" t="n">
        <x:f>('Energy'!$F$25-'Energy'!$H$25)*'Energy'!G38*'Assumptions'!$E$22</x:f>
        <x:v>115568.74999999999</x:v>
      </x:c>
      <x:c r="H68" s="29" t="n">
        <x:f>('Energy'!$F$25-'Energy'!$H$25)*'Energy'!H38*'Assumptions'!$E$22</x:f>
        <x:v>118457.96874999996</x:v>
      </x:c>
      <x:c r="I68" s="29" t="n">
        <x:f>('Energy'!$F$25-'Energy'!$H$25)*'Energy'!I38*'Assumptions'!$E$22</x:f>
        <x:v>121419.41796874996</x:v>
      </x:c>
      <x:c r="J68" s="29" t="n">
        <x:f>('Energy'!$F$25-'Energy'!$H$25)*'Energy'!J38*'Assumptions'!$E$22</x:f>
        <x:v>124454.90341796869</x:v>
      </x:c>
      <x:c r="K68" s="29" t="n">
        <x:f>('Energy'!$F$25-'Energy'!$H$25)*'Energy'!K38*'Assumptions'!$E$22</x:f>
        <x:v>127566.2760034179</x:v>
      </x:c>
      <x:c r="L68" s="29" t="n">
        <x:f>('Energy'!$F$25-'Energy'!$H$25)*'Energy'!L38*'Assumptions'!$E$22</x:f>
        <x:v>130755.43290350334</x:v>
      </x:c>
      <x:c r="M68" s="29" t="n">
        <x:f>('Energy'!$F$25-'Energy'!$H$25)*'Energy'!M38*'Assumptions'!$E$22</x:f>
        <x:v>134024.3187260909</x:v>
      </x:c>
      <x:c r="N68" s="29" t="n">
        <x:f>('Energy'!$F$25-'Energy'!$H$25)*'Energy'!N38*'Assumptions'!$E$22</x:f>
        <x:v>137374.9266942432</x:v>
      </x:c>
    </x:row>
    <x:row r="69" ht="23" customHeight="1">
      <x:c r="A69" s="2"/>
      <x:c r="B69" s="2"/>
      <x:c r="C69" s="2" t="str">
        <x:v>Added analytics cost retained</x:v>
      </x:c>
      <x:c r="D69" s="28" t="n">
        <x:f>0</x:f>
        <x:v>0</x:v>
      </x:c>
      <x:c r="E69" s="29" t="n">
        <x:f>-'Energy'!$H$26*'Energy'!E38*'Assumptions'!$E$22</x:f>
        <x:v>-15000</x:v>
      </x:c>
      <x:c r="F69" s="29" t="n">
        <x:f>-'Energy'!$H$26*'Energy'!F38*'Assumptions'!$E$22</x:f>
        <x:v>-15374.999999999998</x:v>
      </x:c>
      <x:c r="G69" s="29" t="n">
        <x:f>-'Energy'!$H$26*'Energy'!G38*'Assumptions'!$E$22</x:f>
        <x:v>-15759.374999999998</x:v>
      </x:c>
      <x:c r="H69" s="29" t="n">
        <x:f>-'Energy'!$H$26*'Energy'!H38*'Assumptions'!$E$22</x:f>
        <x:v>-16153.359374999995</x:v>
      </x:c>
      <x:c r="I69" s="29" t="n">
        <x:f>-'Energy'!$H$26*'Energy'!I38*'Assumptions'!$E$22</x:f>
        <x:v>-16557.193359374993</x:v>
      </x:c>
      <x:c r="J69" s="29" t="n">
        <x:f>-'Energy'!$H$26*'Energy'!J38*'Assumptions'!$E$22</x:f>
        <x:v>-16971.123193359366</x:v>
      </x:c>
      <x:c r="K69" s="29" t="n">
        <x:f>-'Energy'!$H$26*'Energy'!K38*'Assumptions'!$E$22</x:f>
        <x:v>-17395.40127319335</x:v>
      </x:c>
      <x:c r="L69" s="29" t="n">
        <x:f>-'Energy'!$H$26*'Energy'!L38*'Assumptions'!$E$22</x:f>
        <x:v>-17830.286305023183</x:v>
      </x:c>
      <x:c r="M69" s="29" t="n">
        <x:f>-'Energy'!$H$26*'Energy'!M38*'Assumptions'!$E$22</x:f>
        <x:v>-18276.04346264876</x:v>
      </x:c>
      <x:c r="N69" s="29" t="n">
        <x:f>-'Energy'!$H$26*'Energy'!N38*'Assumptions'!$E$22</x:f>
        <x:v>-18732.94454921498</x:v>
      </x:c>
    </x:row>
    <x:row r="70" ht="23" customHeight="1">
      <x:c r="A70" s="2"/>
      <x:c r="B70" s="2"/>
      <x:c r="C70" s="18" t="str">
        <x:v>Pretax operating savings</x:v>
      </x:c>
      <x:c r="D70" s="32" t="n">
        <x:f>SUM(D67:D69)</x:f>
        <x:v>0</x:v>
      </x:c>
      <x:c r="E70" s="32" t="n">
        <x:f>SUM(E67:E69)</x:f>
        <x:v>190400</x:v>
      </x:c>
      <x:c r="F70" s="32" t="n">
        <x:f>SUM(F67:F69)</x:f>
        <x:v>195160</x:v>
      </x:c>
      <x:c r="G70" s="32" t="n">
        <x:f>SUM(G67:G69)</x:f>
        <x:v>200039</x:v>
      </x:c>
      <x:c r="H70" s="32" t="n">
        <x:f>SUM(H67:H69)</x:f>
        <x:v>205039.97499999992</x:v>
      </x:c>
      <x:c r="I70" s="32" t="n">
        <x:f>SUM(I67:I69)</x:f>
        <x:v>210165.97437499993</x:v>
      </x:c>
      <x:c r="J70" s="32" t="n">
        <x:f>SUM(J67:J69)</x:f>
        <x:v>215420.12373437488</x:v>
      </x:c>
      <x:c r="K70" s="32" t="n">
        <x:f>SUM(K67:K69)</x:f>
        <x:v>220805.62682773423</x:v>
      </x:c>
      <x:c r="L70" s="32" t="n">
        <x:f>SUM(L67:L69)</x:f>
        <x:v>226325.7674984276</x:v>
      </x:c>
      <x:c r="M70" s="32" t="n">
        <x:f>SUM(M67:M69)</x:f>
        <x:v>231983.91168588825</x:v>
      </x:c>
      <x:c r="N70" s="32" t="n">
        <x:f>SUM(N67:N69)</x:f>
        <x:v>237783.5094780355</x:v>
      </x:c>
    </x:row>
    <x:row r="71" ht="23" customHeight="1">
      <x:c r="A71" s="2"/>
      <x:c r="B71" s="2"/>
      <x:c r="C71" s="2" t="str">
        <x:v>Incremental tax depreciation</x:v>
      </x:c>
      <x:c r="D71" s="29" t="n">
        <x:f>'Tax'!D51-'Tax'!D19</x:f>
        <x:v>0</x:v>
      </x:c>
      <x:c r="E71" s="29" t="n">
        <x:f>'Tax'!E51-'Tax'!E19</x:f>
        <x:v>43274.57264957265</x:v>
      </x:c>
      <x:c r="F71" s="29" t="n">
        <x:f>'Tax'!F51-'Tax'!F19</x:f>
        <x:v>46825.64102564102</x:v>
      </x:c>
      <x:c r="G71" s="29" t="n">
        <x:f>'Tax'!G51-'Tax'!G19</x:f>
        <x:v>44007.67094017094</x:v>
      </x:c>
      <x:c r="H71" s="29" t="n">
        <x:f>'Tax'!H51-'Tax'!H19</x:f>
        <x:v>22202.358974358976</x:v>
      </x:c>
      <x:c r="I71" s="29" t="n">
        <x:f>'Tax'!I51-'Tax'!I19</x:f>
        <x:v>22792.00261251336</x:v>
      </x:c>
      <x:c r="J71" s="29" t="n">
        <x:f>'Tax'!J51-'Tax'!J19</x:f>
        <x:v>35489.806290064094</x:v>
      </x:c>
      <x:c r="K71" s="29" t="n">
        <x:f>'Tax'!K51-'Tax'!K19</x:f>
        <x:v>33882.41307326096</x:v>
      </x:c>
      <x:c r="L71" s="29" t="n">
        <x:f>'Tax'!L51-'Tax'!L19</x:f>
        <x:v>16784.369086788865</x:v>
      </x:c>
      <x:c r="M71" s="29" t="n">
        <x:f>'Tax'!M51-'Tax'!M19</x:f>
        <x:v>16784.369086788865</x:v>
      </x:c>
      <x:c r="N71" s="29" t="n">
        <x:f>'Tax'!N51-'Tax'!N19</x:f>
        <x:v>16784.369086788865</x:v>
      </x:c>
    </x:row>
    <x:row r="72" ht="23" customHeight="1">
      <x:c r="A72" s="2"/>
      <x:c r="B72" s="2"/>
      <x:c r="C72" s="2" t="str">
        <x:v>Taxable operating benefit</x:v>
      </x:c>
      <x:c r="D72" s="28" t="n">
        <x:f>D70-D71</x:f>
        <x:v>0</x:v>
      </x:c>
      <x:c r="E72" s="28" t="n">
        <x:f>E70-E71</x:f>
        <x:v>147125.42735042734</x:v>
      </x:c>
      <x:c r="F72" s="28" t="n">
        <x:f>F70-F71</x:f>
        <x:v>148334.35897435897</x:v>
      </x:c>
      <x:c r="G72" s="28" t="n">
        <x:f>G70-G71</x:f>
        <x:v>156031.32905982906</x:v>
      </x:c>
      <x:c r="H72" s="28" t="n">
        <x:f>H70-H71</x:f>
        <x:v>182837.61602564095</x:v>
      </x:c>
      <x:c r="I72" s="28" t="n">
        <x:f>I70-I71</x:f>
        <x:v>187373.97176248656</x:v>
      </x:c>
      <x:c r="J72" s="28" t="n">
        <x:f>J70-J71</x:f>
        <x:v>179930.3174443108</x:v>
      </x:c>
      <x:c r="K72" s="28" t="n">
        <x:f>K70-K71</x:f>
        <x:v>186923.21375447325</x:v>
      </x:c>
      <x:c r="L72" s="28" t="n">
        <x:f>L70-L71</x:f>
        <x:v>209541.39841163874</x:v>
      </x:c>
      <x:c r="M72" s="28" t="n">
        <x:f>M70-M71</x:f>
        <x:v>215199.5425990994</x:v>
      </x:c>
      <x:c r="N72" s="28" t="n">
        <x:f>N70-N71</x:f>
        <x:v>220999.14039124665</x:v>
      </x:c>
    </x:row>
    <x:row r="73" ht="23" customHeight="1">
      <x:c r="A73" s="2"/>
      <x:c r="B73" s="2"/>
      <x:c r="C73" s="2" t="str">
        <x:v>Incremental tax cash flow</x:v>
      </x:c>
      <x:c r="D73" s="29" t="n">
        <x:f>-D72*'Assumptions'!$E$18</x:f>
        <x:v>0</x:v>
      </x:c>
      <x:c r="E73" s="29" t="n">
        <x:f>-E72*'Assumptions'!$E$18</x:f>
        <x:v>-41195.119658119664</x:v>
      </x:c>
      <x:c r="F73" s="29" t="n">
        <x:f>-F72*'Assumptions'!$E$18</x:f>
        <x:v>-41533.62051282052</x:v>
      </x:c>
      <x:c r="G73" s="29" t="n">
        <x:f>-G72*'Assumptions'!$E$18</x:f>
        <x:v>-43688.772136752144</x:v>
      </x:c>
      <x:c r="H73" s="29" t="n">
        <x:f>-H72*'Assumptions'!$E$18</x:f>
        <x:v>-51194.53248717947</x:v>
      </x:c>
      <x:c r="I73" s="29" t="n">
        <x:f>-I72*'Assumptions'!$E$18</x:f>
        <x:v>-52464.712093496244</x:v>
      </x:c>
      <x:c r="J73" s="29" t="n">
        <x:f>-J72*'Assumptions'!$E$18</x:f>
        <x:v>-50380.48888440702</x:v>
      </x:c>
      <x:c r="K73" s="29" t="n">
        <x:f>-K72*'Assumptions'!$E$18</x:f>
        <x:v>-52338.49985125251</x:v>
      </x:c>
      <x:c r="L73" s="29" t="n">
        <x:f>-L72*'Assumptions'!$E$18</x:f>
        <x:v>-58671.591555258856</x:v>
      </x:c>
      <x:c r="M73" s="29" t="n">
        <x:f>-M72*'Assumptions'!$E$18</x:f>
        <x:v>-60255.87192774784</x:v>
      </x:c>
      <x:c r="N73" s="29" t="n">
        <x:f>-N72*'Assumptions'!$E$18</x:f>
        <x:v>-61879.75930954907</x:v>
      </x:c>
    </x:row>
    <x:row r="74" ht="23" customHeight="1">
      <x:c r="A74" s="2"/>
      <x:c r="B74" s="2"/>
      <x:c r="C74" s="2" t="str">
        <x:v>Training tax benefit</x:v>
      </x:c>
      <x:c r="D74" s="29" t="n">
        <x:f>'Tax'!D45*'Assumptions'!$E$18</x:f>
        <x:v>0</x:v>
      </x:c>
      <x:c r="E74" s="29" t="n">
        <x:f>'Tax'!E45*'Assumptions'!$E$18</x:f>
        <x:v>4200</x:v>
      </x:c>
      <x:c r="F74" s="29" t="n">
        <x:f>'Tax'!F45*'Assumptions'!$E$18</x:f>
        <x:v>0</x:v>
      </x:c>
      <x:c r="G74" s="29" t="n">
        <x:f>'Tax'!G45*'Assumptions'!$E$18</x:f>
        <x:v>0</x:v>
      </x:c>
      <x:c r="H74" s="29" t="n">
        <x:f>'Tax'!H45*'Assumptions'!$E$18</x:f>
        <x:v>0</x:v>
      </x:c>
      <x:c r="I74" s="29" t="n">
        <x:f>'Tax'!I45*'Assumptions'!$E$18</x:f>
        <x:v>0</x:v>
      </x:c>
      <x:c r="J74" s="29" t="n">
        <x:f>'Tax'!J45*'Assumptions'!$E$18</x:f>
        <x:v>0</x:v>
      </x:c>
      <x:c r="K74" s="29" t="n">
        <x:f>'Tax'!K45*'Assumptions'!$E$18</x:f>
        <x:v>0</x:v>
      </x:c>
      <x:c r="L74" s="29" t="n">
        <x:f>'Tax'!L45*'Assumptions'!$E$18</x:f>
        <x:v>0</x:v>
      </x:c>
      <x:c r="M74" s="29" t="n">
        <x:f>'Tax'!M45*'Assumptions'!$E$18</x:f>
        <x:v>0</x:v>
      </x:c>
      <x:c r="N74" s="29" t="n">
        <x:f>'Tax'!N45*'Assumptions'!$E$18</x:f>
        <x:v>0</x:v>
      </x:c>
    </x:row>
    <x:row r="75" ht="23" customHeight="1">
      <x:c r="A75" s="2"/>
      <x:c r="B75" s="2"/>
      <x:c r="C75" s="2" t="str">
        <x:v>Incremental capital cash flow</x:v>
      </x:c>
      <x:c r="D75" s="29" t="n">
        <x:f>-'CapEx'!I28</x:f>
        <x:v>-1669000</x:v>
      </x:c>
      <x:c r="E75" s="29" t="n">
        <x:f>'Tax'!E16-'Tax'!E48</x:f>
        <x:v>0</x:v>
      </x:c>
      <x:c r="F75" s="29" t="n">
        <x:f>'Tax'!F16-'Tax'!F48</x:f>
        <x:v>0</x:v>
      </x:c>
      <x:c r="G75" s="29" t="n">
        <x:f>'Tax'!G16-'Tax'!G48</x:f>
        <x:v>840499.9999999999</x:v>
      </x:c>
      <x:c r="H75" s="29" t="n">
        <x:f>'Tax'!H16-'Tax'!H48</x:f>
        <x:v>0</x:v>
      </x:c>
      <x:c r="I75" s="29" t="n">
        <x:f>'Tax'!I16-'Tax'!I48</x:f>
        <x:v>-551906.4453124998</x:v>
      </x:c>
      <x:c r="J75" s="29" t="n">
        <x:f>'Tax'!J16-'Tax'!J48</x:f>
        <x:v>0</x:v>
      </x:c>
      <x:c r="K75" s="29" t="n">
        <x:f>'Tax'!K16-'Tax'!K48</x:f>
        <x:v>695816.050927734</x:v>
      </x:c>
      <x:c r="L75" s="29" t="n">
        <x:f>'Tax'!L16-'Tax'!L48</x:f>
        <x:v>0</x:v>
      </x:c>
      <x:c r="M75" s="29" t="n">
        <x:f>'Tax'!M16-'Tax'!M48</x:f>
        <x:v>0</x:v>
      </x:c>
      <x:c r="N75" s="29" t="n">
        <x:f>'Tax'!N16-'Tax'!N48</x:f>
        <x:v>0</x:v>
      </x:c>
    </x:row>
    <x:row r="76" ht="23" customHeight="1">
      <x:c r="A76" s="2"/>
      <x:c r="B76" s="2"/>
      <x:c r="C76" s="18" t="str">
        <x:v>Incremental free cash flow</x:v>
      </x:c>
      <x:c r="D76" s="32" t="n">
        <x:f>SUM(D70,D73:D75)</x:f>
        <x:v>-1669000</x:v>
      </x:c>
      <x:c r="E76" s="32" t="n">
        <x:f>SUM(E70,E73:E75)</x:f>
        <x:v>153404.88034188034</x:v>
      </x:c>
      <x:c r="F76" s="32" t="n">
        <x:f>SUM(F70,F73:F75)</x:f>
        <x:v>153626.37948717948</x:v>
      </x:c>
      <x:c r="G76" s="32" t="n">
        <x:f>SUM(G70,G73:G75)</x:f>
        <x:v>996850.2278632477</x:v>
      </x:c>
      <x:c r="H76" s="32" t="n">
        <x:f>SUM(H70,H73:H75)</x:f>
        <x:v>153845.44251282045</x:v>
      </x:c>
      <x:c r="I76" s="32" t="n">
        <x:f>SUM(I70,I73:I75)</x:f>
        <x:v>-394205.18303099606</x:v>
      </x:c>
      <x:c r="J76" s="32" t="n">
        <x:f>SUM(J70,J73:J75)</x:f>
        <x:v>165039.63484996784</x:v>
      </x:c>
      <x:c r="K76" s="32" t="n">
        <x:f>SUM(K70,K73:K75)</x:f>
        <x:v>864283.1779042156</x:v>
      </x:c>
      <x:c r="L76" s="32" t="n">
        <x:f>SUM(L70,L73:L75)</x:f>
        <x:v>167654.17594316875</x:v>
      </x:c>
      <x:c r="M76" s="32" t="n">
        <x:f>SUM(M70,M73:M75)</x:f>
        <x:v>171728.0397581404</x:v>
      </x:c>
      <x:c r="N76" s="32" t="n">
        <x:f>SUM(N70,N73:N75)</x:f>
        <x:v>175903.75016848644</x:v>
      </x:c>
    </x:row>
    <x:row r="77" ht="23" customHeight="1">
      <x:c r="A77" s="2"/>
      <x:c r="B77" s="2"/>
      <x:c r="C77" s="2" t="str">
        <x:v>Cumulative free cash flow</x:v>
      </x:c>
      <x:c r="D77" s="28" t="n">
        <x:f>D76</x:f>
        <x:v>-1669000</x:v>
      </x:c>
      <x:c r="E77" s="28" t="n">
        <x:f>D77+E76</x:f>
        <x:v>-1515595.1196581197</x:v>
      </x:c>
      <x:c r="F77" s="28" t="n">
        <x:f>E77+F76</x:f>
        <x:v>-1361968.7401709403</x:v>
      </x:c>
      <x:c r="G77" s="28" t="n">
        <x:f>F77+G76</x:f>
        <x:v>-365118.51230769255</x:v>
      </x:c>
      <x:c r="H77" s="28" t="n">
        <x:f>G77+H76</x:f>
        <x:v>-211273.0697948721</x:v>
      </x:c>
      <x:c r="I77" s="28" t="n">
        <x:f>H77+I76</x:f>
        <x:v>-605478.2528258682</x:v>
      </x:c>
      <x:c r="J77" s="28" t="n">
        <x:f>I77+J76</x:f>
        <x:v>-440438.61797590036</x:v>
      </x:c>
      <x:c r="K77" s="28" t="n">
        <x:f>J77+K76</x:f>
        <x:v>423844.5599283153</x:v>
      </x:c>
      <x:c r="L77" s="28" t="n">
        <x:f>K77+L76</x:f>
        <x:v>591498.735871484</x:v>
      </x:c>
      <x:c r="M77" s="28" t="n">
        <x:f>L77+M76</x:f>
        <x:v>763226.7756296245</x:v>
      </x:c>
      <x:c r="N77" s="28" t="n">
        <x:f>M77+N76</x:f>
        <x:v>939130.525798111</x:v>
      </x:c>
    </x:row>
    <x:row r="78" ht="23" customHeight="1">
      <x:c r="A78" s="2"/>
      <x:c r="B78" s="2"/>
      <x:c r="C78" s="2" t="str">
        <x:v>Dated discount factor</x:v>
      </x:c>
      <x:c r="D78" s="49" t="n">
        <x:f>1/(1+'Assumptions'!$E$80)^((D$8-$D$8)/365)</x:f>
        <x:v>1</x:v>
      </x:c>
      <x:c r="E78" s="49" t="n">
        <x:f>1/(1+'Assumptions'!$E$80)^((E$8-$D$8)/365)</x:f>
        <x:v>0.9216589861751152</x:v>
      </x:c>
      <x:c r="F78" s="49" t="n">
        <x:f>1/(1+'Assumptions'!$E$80)^((F$8-$D$8)/365)</x:f>
        <x:v>0.8492654489686419</x:v>
      </x:c>
      <x:c r="G78" s="49" t="n">
        <x:f>1/(1+'Assumptions'!$E$80)^((G$8-$D$8)/365)</x:f>
        <x:v>0.7827331326899925</x:v>
      </x:c>
      <x:c r="H78" s="49" t="n">
        <x:f>1/(1+'Assumptions'!$E$80)^((H$8-$D$8)/365)</x:f>
        <x:v>0.7214130255207304</x:v>
      </x:c>
      <x:c r="I78" s="49" t="n">
        <x:f>1/(1+'Assumptions'!$E$80)^((I$8-$D$8)/365)</x:f>
        <x:v>0.6648967977149589</x:v>
      </x:c>
      <x:c r="J78" s="49" t="n">
        <x:f>1/(1+'Assumptions'!$E$80)^((J$8-$D$8)/365)</x:f>
        <x:v>0.6126711570106893</x:v>
      </x:c>
      <x:c r="K78" s="49" t="n">
        <x:f>1/(1+'Assumptions'!$E$80)^((K$8-$D$8)/365)</x:f>
        <x:v>0.5646738774292067</x:v>
      </x:c>
      <x:c r="L78" s="49" t="n">
        <x:f>1/(1+'Assumptions'!$E$80)^((L$8-$D$8)/365)</x:f>
        <x:v>0.520436753390974</x:v>
      </x:c>
      <x:c r="M78" s="49" t="n">
        <x:f>1/(1+'Assumptions'!$E$80)^((M$8-$D$8)/365)</x:f>
        <x:v>0.47966521049859356</x:v>
      </x:c>
      <x:c r="N78" s="49" t="n">
        <x:f>1/(1+'Assumptions'!$E$80)^((N$8-$D$8)/365)</x:f>
        <x:v>0.4419889530283678</x:v>
      </x:c>
    </x:row>
    <x:row r="79" ht="23" customHeight="1">
      <x:c r="A79" s="2"/>
      <x:c r="B79" s="2"/>
      <x:c r="C79" s="2" t="str">
        <x:v>Discounted free cash flow</x:v>
      </x:c>
      <x:c r="D79" s="28" t="n">
        <x:f>D76*D78</x:f>
        <x:v>-1669000</x:v>
      </x:c>
      <x:c r="E79" s="28" t="n">
        <x:f>E76*E78</x:f>
        <x:v>141386.9864902123</x:v>
      </x:c>
      <x:c r="F79" s="28" t="n">
        <x:f>F76*F78</x:f>
        <x:v>130469.57614860643</x:v>
      </x:c>
      <x:c r="G79" s="28" t="n">
        <x:f>G76*G78</x:f>
        <x:v>780267.7016781328</x:v>
      </x:c>
      <x:c r="H79" s="28" t="n">
        <x:f>H76*H78</x:f>
        <x:v>110986.10614574939</x:v>
      </x:c>
      <x:c r="I79" s="28" t="n">
        <x:f>I76*I78</x:f>
        <x:v>-262105.76383994854</x:v>
      </x:c>
      <x:c r="J79" s="28" t="n">
        <x:f>J76*J78</x:f>
        <x:v>101115.02403615147</x:v>
      </x:c>
      <x:c r="K79" s="28" t="n">
        <x:f>K76*K78</x:f>
        <x:v>488038.1332640103</x:v>
      </x:c>
      <x:c r="L79" s="28" t="n">
        <x:f>L76*L78</x:f>
        <x:v>87253.39502030188</x:v>
      </x:c>
      <x:c r="M79" s="28" t="n">
        <x:f>M76*M78</x:f>
        <x:v>82371.96633909926</x:v>
      </x:c>
      <x:c r="N79" s="28" t="n">
        <x:f>N76*N78</x:f>
        <x:v>77747.5143707329</x:v>
      </x:c>
    </x:row>
    <x:row r="80" ht="23" customHeight="1">
      <x:c r="A80" s="2"/>
      <x:c r="B80" s="2"/>
      <x:c r="C80" s="18" t="str">
        <x:v>Cumulative discounted free cash flow</x:v>
      </x:c>
      <x:c r="D80" s="32" t="n">
        <x:f>D79</x:f>
        <x:v>-1669000</x:v>
      </x:c>
      <x:c r="E80" s="32" t="n">
        <x:f>D80+E79</x:f>
        <x:v>-1527613.0135097876</x:v>
      </x:c>
      <x:c r="F80" s="32" t="n">
        <x:f>E80+F79</x:f>
        <x:v>-1397143.4373611812</x:v>
      </x:c>
      <x:c r="G80" s="32" t="n">
        <x:f>F80+G79</x:f>
        <x:v>-616875.7356830485</x:v>
      </x:c>
      <x:c r="H80" s="32" t="n">
        <x:f>G80+H79</x:f>
        <x:v>-505889.6295372991</x:v>
      </x:c>
      <x:c r="I80" s="32" t="n">
        <x:f>H80+I79</x:f>
        <x:v>-767995.3933772476</x:v>
      </x:c>
      <x:c r="J80" s="32" t="n">
        <x:f>I80+J79</x:f>
        <x:v>-666880.3693410961</x:v>
      </x:c>
      <x:c r="K80" s="32" t="n">
        <x:f>J80+K79</x:f>
        <x:v>-178842.23607708584</x:v>
      </x:c>
      <x:c r="L80" s="32" t="n">
        <x:f>K80+L79</x:f>
        <x:v>-91588.84105678396</x:v>
      </x:c>
      <x:c r="M80" s="32" t="n">
        <x:f>L80+M79</x:f>
        <x:v>-9216.874717684695</x:v>
      </x:c>
      <x:c r="N80" s="32" t="n">
        <x:f>M80+N79</x:f>
        <x:v>68530.6396530482</x:v>
      </x:c>
    </x:row>
    <x:row r="81" ht="23" customHeight="1">
      <x:c r="A81" s="2"/>
      <x:c r="B81" s="2"/>
      <x:c r="C81" s="2" t="str">
        <x:v>Payback crossing (years)</x:v>
      </x:c>
      <x:c r="D81" s="50" t="n">
        <x:f>99</x:f>
        <x:v>99</x:v>
      </x:c>
      <x:c r="E81" s="50" t="n">
        <x:f>IF(AND(D77&lt;0,E77&gt;=0),E$7-1-D77/E76,99)</x:f>
        <x:v>99</x:v>
      </x:c>
      <x:c r="F81" s="50" t="n">
        <x:f>IF(AND(E77&lt;0,F77&gt;=0),F$7-1-E77/F76,99)</x:f>
        <x:v>99</x:v>
      </x:c>
      <x:c r="G81" s="50" t="n">
        <x:f>IF(AND(F77&lt;0,G77&gt;=0),G$7-1-F77/G76,99)</x:f>
        <x:v>99</x:v>
      </x:c>
      <x:c r="H81" s="50" t="n">
        <x:f>IF(AND(G77&lt;0,H77&gt;=0),H$7-1-G77/H76,99)</x:f>
        <x:v>99</x:v>
      </x:c>
      <x:c r="I81" s="50" t="n">
        <x:f>IF(AND(H77&lt;0,I77&gt;=0),I$7-1-H77/I76,99)</x:f>
        <x:v>99</x:v>
      </x:c>
      <x:c r="J81" s="50" t="n">
        <x:f>IF(AND(I77&lt;0,J77&gt;=0),J$7-1-I77/J76,99)</x:f>
        <x:v>99</x:v>
      </x:c>
      <x:c r="K81" s="50" t="n">
        <x:f>IF(AND(J77&lt;0,K77&gt;=0),K$7-1-J77/K76,99)</x:f>
        <x:v>6.509599896464388</x:v>
      </x:c>
      <x:c r="L81" s="50" t="n">
        <x:f>IF(AND(K77&lt;0,L77&gt;=0),L$7-1-K77/L76,99)</x:f>
        <x:v>99</x:v>
      </x:c>
      <x:c r="M81" s="50" t="n">
        <x:f>IF(AND(L77&lt;0,M77&gt;=0),M$7-1-L77/M76,99)</x:f>
        <x:v>99</x:v>
      </x:c>
      <x:c r="N81" s="50" t="n">
        <x:f>IF(AND(M77&lt;0,N77&gt;=0),N$7-1-M77/N76,99)</x:f>
        <x:v>99</x:v>
      </x:c>
    </x:row>
    <x:row r="82" ht="23" customHeight="1">
      <x:c r="A82" s="2"/>
      <x:c r="B82" s="2"/>
      <x:c r="C82" s="2" t="str">
        <x:v>Discounted crossing (years)</x:v>
      </x:c>
      <x:c r="D82" s="50" t="n">
        <x:f>99</x:f>
        <x:v>99</x:v>
      </x:c>
      <x:c r="E82" s="50" t="n">
        <x:f>IF(AND(D80&lt;0,E80&gt;=0),E$7-1-D80/E79,99)</x:f>
        <x:v>99</x:v>
      </x:c>
      <x:c r="F82" s="50" t="n">
        <x:f>IF(AND(E80&lt;0,F80&gt;=0),F$7-1-E80/F79,99)</x:f>
        <x:v>99</x:v>
      </x:c>
      <x:c r="G82" s="50" t="n">
        <x:f>IF(AND(F80&lt;0,G80&gt;=0),G$7-1-F80/G79,99)</x:f>
        <x:v>99</x:v>
      </x:c>
      <x:c r="H82" s="50" t="n">
        <x:f>IF(AND(G80&lt;0,H80&gt;=0),H$7-1-G80/H79,99)</x:f>
        <x:v>99</x:v>
      </x:c>
      <x:c r="I82" s="50" t="n">
        <x:f>IF(AND(H80&lt;0,I80&gt;=0),I$7-1-H80/I79,99)</x:f>
        <x:v>99</x:v>
      </x:c>
      <x:c r="J82" s="50" t="n">
        <x:f>IF(AND(I80&lt;0,J80&gt;=0),J$7-1-I80/J79,99)</x:f>
        <x:v>99</x:v>
      </x:c>
      <x:c r="K82" s="50" t="n">
        <x:f>IF(AND(J80&lt;0,K80&gt;=0),K$7-1-J80/K79,99)</x:f>
        <x:v>99</x:v>
      </x:c>
      <x:c r="L82" s="50" t="n">
        <x:f>IF(AND(K80&lt;0,L80&gt;=0),L$7-1-K80/L79,99)</x:f>
        <x:v>99</x:v>
      </x:c>
      <x:c r="M82" s="50" t="n">
        <x:f>IF(AND(L80&lt;0,M80&gt;=0),M$7-1-L80/M79,99)</x:f>
        <x:v>99</x:v>
      </x:c>
      <x:c r="N82" s="50" t="n">
        <x:f>IF(AND(M80&lt;0,N80&gt;=0),N$7-1-M80/N79,99)</x:f>
        <x:v>9.118548802393022</x:v>
      </x:c>
    </x:row>
    <x:row r="83" ht="23" customHeight="1">
      <x:c r="A83" s="2"/>
      <x:c r="B83" s="2"/>
      <x:c r="C83" s="2"/>
      <x:c r="D83" s="2"/>
      <x:c r="E83" s="2"/>
      <x:c r="F83" s="2"/>
      <x:c r="G83" s="2"/>
      <x:c r="H83" s="2"/>
      <x:c r="I83" s="2"/>
      <x:c r="J83" s="2"/>
      <x:c r="K83" s="2"/>
      <x:c r="L83" s="2"/>
      <x:c r="M83" s="2"/>
      <x:c r="N83" s="2"/>
    </x:row>
    <x:row r="84" ht="23" customHeight="1">
      <x:c r="A84" s="2"/>
      <x:c r="B84" s="2"/>
      <x:c r="C84" s="2"/>
      <x:c r="D84" s="2"/>
      <x:c r="E84" s="2"/>
      <x:c r="F84" s="2"/>
      <x:c r="G84" s="2"/>
      <x:c r="H84" s="2"/>
      <x:c r="I84" s="2"/>
      <x:c r="J84" s="2"/>
      <x:c r="K84" s="2"/>
      <x:c r="L84" s="2"/>
      <x:c r="M84" s="2"/>
      <x:c r="N84" s="2"/>
    </x:row>
    <x:row r="85" ht="23" customHeight="1">
      <x:c r="A85" s="2"/>
      <x:c r="B85" s="2"/>
      <x:c r="C85" s="2"/>
      <x:c r="D85" s="2"/>
      <x:c r="E85" s="2"/>
      <x:c r="F85" s="2"/>
      <x:c r="G85" s="2"/>
      <x:c r="H85" s="2"/>
      <x:c r="I85" s="2"/>
      <x:c r="J85" s="2"/>
      <x:c r="K85" s="2"/>
      <x:c r="L85" s="2"/>
      <x:c r="M85" s="2"/>
      <x:c r="N85" s="2"/>
    </x:row>
    <x:row r="86" ht="28" customHeight="1">
      <x:c r="A86" s="2"/>
      <x:c r="B86" s="2"/>
      <x:c r="C86" s="11" t="str">
        <x:v>Valuation results</x:v>
      </x:c>
      <x:c r="D86" s="11" t="str">
        <x:v>Unit</x:v>
      </x:c>
      <x:c r="E86" s="11" t="str">
        <x:v>B Full</x:v>
      </x:c>
      <x:c r="F86" s="11" t="str">
        <x:v>C Partial</x:v>
      </x:c>
      <x:c r="G86" s="2"/>
      <x:c r="H86" s="2"/>
      <x:c r="I86" s="2"/>
      <x:c r="J86" s="2"/>
      <x:c r="K86" s="2"/>
      <x:c r="L86" s="2"/>
      <x:c r="M86" s="2"/>
      <x:c r="N86" s="2"/>
    </x:row>
    <x:row r="87" ht="23" customHeight="1">
      <x:c r="A87" s="2"/>
      <x:c r="B87" s="2"/>
      <x:c r="C87" s="2" t="str">
        <x:v>Initial funding</x:v>
      </x:c>
      <x:c r="D87" s="2" t="str">
        <x:v>USD</x:v>
      </x:c>
      <x:c r="E87" s="91" t="n">
        <x:f>IF('Assumptions'!$G$6="Inputs valid",-D54,"n.a.")</x:f>
        <x:v>5000000</x:v>
      </x:c>
      <x:c r="F87" s="91" t="n">
        <x:f>IF('Assumptions'!$G$6="Inputs valid",-D76,"n.a.")</x:f>
        <x:v>1669000</x:v>
      </x:c>
      <x:c r="G87" s="2"/>
      <x:c r="H87" s="2"/>
      <x:c r="I87" s="2"/>
      <x:c r="J87" s="2"/>
      <x:c r="K87" s="2"/>
      <x:c r="L87" s="2"/>
      <x:c r="M87" s="2"/>
      <x:c r="N87" s="2"/>
    </x:row>
    <x:row r="88" ht="23" customHeight="1">
      <x:c r="A88" s="2"/>
      <x:c r="B88" s="2"/>
      <x:c r="C88" s="2" t="str">
        <x:v>Year 1 pretax operating savings</x:v>
      </x:c>
      <x:c r="D88" s="2" t="str">
        <x:v>USD</x:v>
      </x:c>
      <x:c r="E88" s="91" t="n">
        <x:f>IF('Assumptions'!$G$6="Inputs valid",E48,"n.a.")</x:f>
        <x:v>399440</x:v>
      </x:c>
      <x:c r="F88" s="91" t="n">
        <x:f>IF('Assumptions'!$G$6="Inputs valid",E70,"n.a.")</x:f>
        <x:v>190400</x:v>
      </x:c>
      <x:c r="G88" s="2"/>
      <x:c r="H88" s="2"/>
      <x:c r="I88" s="2"/>
      <x:c r="J88" s="2"/>
      <x:c r="K88" s="2"/>
      <x:c r="L88" s="2"/>
      <x:c r="M88" s="2"/>
      <x:c r="N88" s="2"/>
    </x:row>
    <x:row r="89" ht="23" customHeight="1">
      <x:c r="A89" s="2"/>
      <x:c r="B89" s="2"/>
      <x:c r="C89" s="2" t="str">
        <x:v>Dated NPV versus A</x:v>
      </x:c>
      <x:c r="D89" s="2" t="str">
        <x:v>USD</x:v>
      </x:c>
      <x:c r="E89" s="91" t="n">
        <x:f>IF('Assumptions'!$G$6="Inputs valid",XNPV('Assumptions'!$E$80,D54:N54,$D$8:$N$8),"n.a.")</x:f>
        <x:v>-1754620.454588824</x:v>
      </x:c>
      <x:c r="F89" s="91" t="n">
        <x:f>IF('Assumptions'!$G$6="Inputs valid",XNPV('Assumptions'!$E$80,D76:N76,$D$8:$N$8),"n.a.")</x:f>
        <x:v>68530.6396530481</x:v>
      </x:c>
      <x:c r="G89" s="2"/>
      <x:c r="H89" s="2"/>
      <x:c r="I89" s="2"/>
      <x:c r="J89" s="2"/>
      <x:c r="K89" s="2"/>
      <x:c r="L89" s="2"/>
      <x:c r="M89" s="2"/>
      <x:c r="N89" s="2"/>
    </x:row>
    <x:row r="90" ht="23" customHeight="1">
      <x:c r="A90" s="2"/>
      <x:c r="B90" s="2"/>
      <x:c r="C90" s="2" t="str">
        <x:v>Dated IRR (XIRR)</x:v>
      </x:c>
      <x:c r="D90" s="2" t="str">
        <x:v>%</x:v>
      </x:c>
      <x:c r="E90" s="92" t="n">
        <x:f>IF('Assumptions'!$G$6="Inputs valid",IF(AND(COUNTIF(D54:N54,"&gt;0")&gt;0,COUNTIF(D54:N54,"&lt;0")&gt;0),IFERROR(XIRR(D54:N54,$D$8:$N$8,0.1),"n.a. - no converged IRR"),"n.a. - cash-flow signs"),"n.a.")</x:f>
        <x:v>-0.0038264831870484595</x:v>
      </x:c>
      <x:c r="F90" s="92" t="n">
        <x:f>IF('Assumptions'!$G$6="Inputs valid",IF(AND(COUNTIF(D76:N76,"&gt;0")&gt;0,COUNTIF(D76:N76,"&lt;0")&gt;0),IFERROR(XIRR(D76:N76,$D$8:$N$8,0.1),"n.a. - no converged IRR"),"n.a. - cash-flow signs"),"n.a.")</x:f>
        <x:v>0.09444268528565532</x:v>
      </x:c>
      <x:c r="G90" s="2"/>
      <x:c r="H90" s="2"/>
      <x:c r="I90" s="2"/>
      <x:c r="J90" s="2"/>
      <x:c r="K90" s="2"/>
      <x:c r="L90" s="2"/>
      <x:c r="M90" s="2"/>
      <x:c r="N90" s="2"/>
    </x:row>
    <x:row r="91" ht="23" customHeight="1">
      <x:c r="A91" s="2"/>
      <x:c r="B91" s="2"/>
      <x:c r="C91" s="2" t="str">
        <x:v>Undiscounted 10-year cash ROI</x:v>
      </x:c>
      <x:c r="D91" s="2" t="str">
        <x:v>%</x:v>
      </x:c>
      <x:c r="E91" s="92" t="n">
        <x:f>IF(AND('Assumptions'!$G$6="Inputs valid",ISNUMBER(E87),E87&gt;0),SUM(D54:N54)/E87,"n.a.")</x:f>
        <x:v>-0.020313106499029416</x:v>
      </x:c>
      <x:c r="F91" s="92" t="n">
        <x:f>IF(AND('Assumptions'!$G$6="Inputs valid",ISNUMBER(F87),F87&gt;0),SUM(D76:N76)/F87,"n.a.")</x:f>
        <x:v>0.5626905487106717</x:v>
      </x:c>
      <x:c r="G91" s="2"/>
      <x:c r="H91" s="2"/>
      <x:c r="I91" s="2"/>
      <x:c r="J91" s="2"/>
      <x:c r="K91" s="2"/>
      <x:c r="L91" s="2"/>
      <x:c r="M91" s="2"/>
      <x:c r="N91" s="2"/>
    </x:row>
    <x:row r="92" ht="23" customHeight="1">
      <x:c r="A92" s="2"/>
      <x:c r="B92" s="2"/>
      <x:c r="C92" s="2" t="str">
        <x:v>Simple payback (years)</x:v>
      </x:c>
      <x:c r="D92" s="2" t="str">
        <x:v>years</x:v>
      </x:c>
      <x:c r="E92" s="93" t="str">
        <x:f>IF('Assumptions'!$G$6="Inputs valid",IF(MIN(E59:N59)=99,"Not within 10 years",MIN(E59:N59)),"n.a.")</x:f>
        <x:v>Not within 10 years</x:v>
      </x:c>
      <x:c r="F92" s="93" t="n">
        <x:f>IF('Assumptions'!$G$6="Inputs valid",IF(MIN(E81:N81)=99,"Not within 10 years",MIN(E81:N81)),"n.a.")</x:f>
        <x:v>6.509599896464388</x:v>
      </x:c>
      <x:c r="G92" s="2"/>
      <x:c r="H92" s="2"/>
      <x:c r="I92" s="2"/>
      <x:c r="J92" s="2"/>
      <x:c r="K92" s="2"/>
      <x:c r="L92" s="2"/>
      <x:c r="M92" s="2"/>
      <x:c r="N92" s="2"/>
    </x:row>
    <x:row r="93" ht="23" customHeight="1">
      <x:c r="A93" s="2"/>
      <x:c r="B93" s="2"/>
      <x:c r="C93" s="2" t="str">
        <x:v>Discounted payback (years)</x:v>
      </x:c>
      <x:c r="D93" s="2" t="str">
        <x:v>years</x:v>
      </x:c>
      <x:c r="E93" s="93" t="str">
        <x:f>IF('Assumptions'!$G$6="Inputs valid",IF(MIN(E60:N60)=99,"Not within 10 years",MIN(E60:N60)),"n.a.")</x:f>
        <x:v>Not within 10 years</x:v>
      </x:c>
      <x:c r="F93" s="93" t="n">
        <x:f>IF('Assumptions'!$G$6="Inputs valid",IF(MIN(E82:N82)=99,"Not within 10 years",MIN(E82:N82)),"n.a.")</x:f>
        <x:v>9.118548802393022</x:v>
      </x:c>
      <x:c r="G93" s="2"/>
      <x:c r="H93" s="2"/>
      <x:c r="I93" s="2"/>
      <x:c r="J93" s="2"/>
      <x:c r="K93" s="2"/>
      <x:c r="L93" s="2"/>
      <x:c r="M93" s="2"/>
      <x:c r="N93" s="2"/>
    </x:row>
    <x:row r="94" ht="23" customHeight="1">
      <x:c r="A94" s="2"/>
      <x:c r="B94" s="2"/>
      <x:c r="C94" s="2" t="str">
        <x:v>10-year net cash flow</x:v>
      </x:c>
      <x:c r="D94" s="2" t="str">
        <x:v>USD</x:v>
      </x:c>
      <x:c r="E94" s="91" t="n">
        <x:f>IF('Assumptions'!$G$6="Inputs valid",SUM(D54:N54),"n.a.")</x:f>
        <x:v>-101565.53249514708</x:v>
      </x:c>
      <x:c r="F94" s="91" t="n">
        <x:f>IF('Assumptions'!$G$6="Inputs valid",SUM(D76:N76),"n.a.")</x:f>
        <x:v>939130.525798111</x:v>
      </x:c>
      <x:c r="G94" s="2"/>
      <x:c r="H94" s="2"/>
      <x:c r="I94" s="2"/>
      <x:c r="J94" s="2"/>
      <x:c r="K94" s="2"/>
      <x:c r="L94" s="2"/>
      <x:c r="M94" s="2"/>
      <x:c r="N94" s="2"/>
    </x:row>
    <x:row r="95" ht="23" customHeight="1">
      <x:c r="A95" s="2"/>
      <x:c r="B95" s="2"/>
      <x:c r="C95" s="2" t="str">
        <x:v>Present value of owner costs</x:v>
      </x:c>
      <x:c r="D95" s="2" t="str">
        <x:v>USD</x:v>
      </x:c>
      <x:c r="E95" s="91" t="n">
        <x:f>IF('Assumptions'!$G$6="Inputs valid",-XNPV('Assumptions'!$E$80,D27:N27,$D$8:$N$8),"n.a.")</x:f>
        <x:v>7815271.026787866</x:v>
      </x:c>
      <x:c r="F95" s="91" t="n">
        <x:f>IF('Assumptions'!$G$6="Inputs valid",-XNPV('Assumptions'!$E$80,D38:N38,$D$8:$N$8),"n.a.")</x:f>
        <x:v>5992119.9325459935</x:v>
      </x:c>
      <x:c r="G95" s="2"/>
      <x:c r="H95" s="2"/>
      <x:c r="I95" s="2"/>
      <x:c r="J95" s="2"/>
      <x:c r="K95" s="2"/>
      <x:c r="L95" s="2"/>
      <x:c r="M95" s="2"/>
      <x:c r="N95" s="2"/>
    </x:row>
    <x:row r="96" ht="23" customHeight="1">
      <x:c r="A96" s="2"/>
      <x:c r="B96" s="2"/>
      <x:c r="C96" s="2" t="str">
        <x:v>Periodic NPV reference</x:v>
      </x:c>
      <x:c r="D96" s="2" t="str">
        <x:v>USD</x:v>
      </x:c>
      <x:c r="E96" s="91" t="n">
        <x:f>IF('Assumptions'!$G$6="Inputs valid",NPV('Assumptions'!$E$80,E54:N54)+D54,"n.a.")</x:f>
        <x:v>-1753643.4354130565</x:v>
      </x:c>
      <x:c r="F96" s="91" t="n">
        <x:f>IF('Assumptions'!$G$6="Inputs valid",NPV('Assumptions'!$E$80,E76:N76)+D76,"n.a.")</x:f>
        <x:v>69091.84728018893</x:v>
      </x:c>
      <x:c r="G96" s="2"/>
      <x:c r="H96" s="2"/>
      <x:c r="I96" s="2"/>
      <x:c r="J96" s="2"/>
      <x:c r="K96" s="2"/>
      <x:c r="L96" s="2"/>
      <x:c r="M96" s="2"/>
      <x:c r="N96" s="2"/>
    </x:row>
    <x:row r="97" ht="23" customHeight="1">
      <x:c r="A97" s="2"/>
      <x:c r="B97" s="2"/>
      <x:c r="C97" s="2" t="str">
        <x:v>Periodic IRR reference</x:v>
      </x:c>
      <x:c r="D97" s="2" t="str">
        <x:v>%</x:v>
      </x:c>
      <x:c r="E97" s="92" t="n">
        <x:f>IF('Assumptions'!$G$6="Inputs valid",IF(AND(COUNTIF(D54:N54,"&gt;0")&gt;0,COUNTIF(D54:N54,"&lt;0")&gt;0),IFERROR(IRR(D54:N54),"n.a. - no converged IRR"),"n.a. - cash-flow signs"),"n.a.")</x:f>
        <x:v>-0.003829413556119543</x:v>
      </x:c>
      <x:c r="F97" s="92" t="n">
        <x:f>IF('Assumptions'!$G$6="Inputs valid",IF(AND(COUNTIF(D76:N76,"&gt;0")&gt;0,COUNTIF(D76:N76,"&lt;0")&gt;0),IFERROR(IRR(D76:N76),"n.a. - no converged IRR"),"n.a. - cash-flow signs"),"n.a.")</x:f>
        <x:v>0.094526565943752</x:v>
      </x:c>
      <x:c r="G97" s="2"/>
      <x:c r="H97" s="2"/>
      <x:c r="I97" s="2"/>
      <x:c r="J97" s="2"/>
      <x:c r="K97" s="2"/>
      <x:c r="L97" s="2"/>
      <x:c r="M97" s="2"/>
      <x:c r="N97" s="2"/>
    </x:row>
    <x:row r="98" ht="23" customHeight="1">
      <x:c r="A98" s="2"/>
      <x:c r="B98" s="2"/>
      <x:c r="C98" s="2"/>
      <x:c r="D98" s="2"/>
      <x:c r="E98" s="2"/>
      <x:c r="F98" s="2"/>
      <x:c r="G98" s="2"/>
      <x:c r="H98" s="2"/>
      <x:c r="I98" s="2"/>
      <x:c r="J98" s="2"/>
      <x:c r="K98" s="2"/>
      <x:c r="L98" s="2"/>
      <x:c r="M98" s="2"/>
      <x:c r="N98" s="2"/>
    </x:row>
    <x:row r="99" ht="23" customHeight="1">
      <x:c r="A99" s="2"/>
      <x:c r="B99" s="2"/>
      <x:c r="C99" s="2"/>
      <x:c r="D99" s="2"/>
      <x:c r="E99" s="2"/>
      <x:c r="F99" s="2"/>
      <x:c r="G99" s="2"/>
      <x:c r="H99" s="2"/>
      <x:c r="I99" s="2"/>
      <x:c r="J99" s="2"/>
      <x:c r="K99" s="2"/>
      <x:c r="L99" s="2"/>
      <x:c r="M99" s="2"/>
      <x:c r="N99" s="2"/>
    </x:row>
    <x:row r="100" ht="23" customHeight="1">
      <x:c r="A100" s="2"/>
      <x:c r="B100" s="2"/>
      <x:c r="C100" s="5" t="str">
        <x:v>Horizon: 10 years. No terminal proceeds, remaining service value or post-horizon tax shields.</x:v>
      </x:c>
      <x:c r="D100" s="2"/>
      <x:c r="E100" s="2"/>
      <x:c r="F100" s="2"/>
      <x:c r="G100" s="2"/>
      <x:c r="H100" s="2"/>
      <x:c r="I100" s="2"/>
      <x:c r="J100" s="2"/>
      <x:c r="K100" s="2"/>
      <x:c r="L100" s="2"/>
      <x:c r="M100" s="2"/>
      <x:c r="N100" s="2"/>
    </x:row>
    <x:row r="101" ht="23" customHeight="1">
      <x:c r="A101" s="2"/>
      <x:c r="B101" s="2"/>
      <x:c r="C101" s="5" t="str">
        <x:v>Payback interpolates the first after-tax cumulative crossing; 99 means no crossing within 10 years.</x:v>
      </x:c>
      <x:c r="D101" s="2"/>
      <x:c r="E101" s="2"/>
      <x:c r="F101" s="2"/>
      <x:c r="G101" s="2"/>
      <x:c r="H101" s="2"/>
      <x:c r="I101" s="2"/>
      <x:c r="J101" s="2"/>
      <x:c r="K101" s="2"/>
      <x:c r="L101" s="2"/>
      <x:c r="M101" s="2"/>
      <x:c r="N101" s="2"/>
    </x:row>
    <x:row r="102" ht="23" customHeight="1">
      <x:c r="A102" s="2"/>
      <x:c r="B102" s="2"/>
      <x:c r="C102" s="5" t="str">
        <x:v>Option C has a negative year 5 cash flow. NPV is the primary metric; IRR may be ambiguous for nonconventional flows.</x:v>
      </x:c>
      <x:c r="D102" s="2"/>
      <x:c r="E102" s="2"/>
      <x:c r="F102" s="2"/>
      <x:c r="G102" s="2"/>
      <x:c r="H102" s="2"/>
      <x:c r="I102" s="2"/>
      <x:c r="J102" s="2"/>
      <x:c r="K102" s="2"/>
      <x:c r="L102" s="2"/>
      <x:c r="M102" s="2"/>
      <x:c r="N102" s="2"/>
    </x:row>
    <x:row r="103" ht="23" customHeight="1">
      <x:c r="A103" s="2"/>
      <x:c r="B103" s="2"/>
      <x:c r="C103" s="5" t="str">
        <x:v>No debt, rebates, penalties or rental premium. Retention adjusts operating savings only.</x:v>
      </x:c>
      <x:c r="D103" s="2"/>
      <x:c r="E103" s="2"/>
      <x:c r="F103" s="2"/>
      <x:c r="G103" s="2"/>
      <x:c r="H103" s="2"/>
      <x:c r="I103" s="2"/>
      <x:c r="J103" s="2"/>
      <x:c r="K103" s="2"/>
      <x:c r="L103" s="2"/>
      <x:c r="M103" s="2"/>
      <x:c r="N103" s="2"/>
    </x:row>
    <x:row r="104" ht="23" customHeight="1">
      <x:c r="A104" s="2"/>
      <x:c r="B104" s="2"/>
      <x:c r="C104" s="2"/>
      <x:c r="D104" s="2"/>
      <x:c r="E104" s="2"/>
      <x:c r="F104" s="2"/>
      <x:c r="G104" s="2"/>
      <x:c r="H104" s="2"/>
      <x:c r="I104" s="2"/>
      <x:c r="J104" s="2"/>
      <x:c r="K104" s="2"/>
      <x:c r="L104" s="2"/>
      <x:c r="M104" s="2"/>
      <x:c r="N104" s="2"/>
    </x:row>
    <x:row r="105" ht="23" customHeight="1">
      <x:c r="A105" s="2"/>
      <x:c r="B105" s="2"/>
      <x:c r="C105" s="2"/>
      <x:c r="D105" s="2"/>
      <x:c r="E105" s="2"/>
      <x:c r="F105" s="2"/>
      <x:c r="G105" s="2"/>
      <x:c r="H105" s="2"/>
      <x:c r="I105" s="2"/>
      <x:c r="J105" s="2"/>
      <x:c r="K105" s="2"/>
      <x:c r="L105" s="2"/>
      <x:c r="M105" s="2"/>
      <x:c r="N105" s="2"/>
    </x:row>
  </x:sheetData>
  <x:printOptions horizontalCentered="1" headings="0" gridLines="0"/>
  <x:pageMargins left="0.3" right="0.3" top="0.35" bottom="0.35" header="0.15" footer="0.15"/>
  <x:pageSetup paperSize="3" orientation="landscape" fitToWidth="1" fitToHeight="0"/>
  <x:headerFooter>
    <x:oddFooter>&amp;L&amp;"Times New Roman,Regular"&amp;9Cash Flow&amp;RPage &amp;P of &amp;N</x:oddFooter>
  </x:headerFooter>
</x:worksheet>
</file>

<file path=xl/worksheets/sheet7.xml><?xml version="1.0" encoding="utf-8"?>
<x:worksheet xmlns:x="http://schemas.openxmlformats.org/spreadsheetml/2006/main">
  <x:sheetPr>
    <x:pageSetUpPr fitToPage="1"/>
  </x:sheetPr>
  <x:sheetViews>
    <x:sheetView showGridLines="0" workbookViewId="0">
      <x:pane xSplit="3" ySplit="7" topLeftCell="D8" activePane="bottomRight" state="frozen"/>
    </x:sheetView>
  </x:sheetViews>
  <x:sheetFormatPr defaultRowHeight="15"/>
  <x:cols>
    <x:col min="1" max="1" width="3" hidden="0" customWidth="1"/>
    <x:col min="2" max="2" width="3" hidden="0" customWidth="1"/>
    <x:col min="3" max="3" width="42" hidden="0" customWidth="1"/>
    <x:col min="4" max="4" width="17" hidden="0" customWidth="1"/>
    <x:col min="5" max="5" width="17" hidden="0" customWidth="1"/>
    <x:col min="6" max="6" width="17" hidden="0" customWidth="1"/>
    <x:col min="7" max="7" width="17" hidden="0" customWidth="1"/>
    <x:col min="8" max="8" width="17" hidden="0" customWidth="1"/>
    <x:col min="9" max="9" width="17" hidden="0" customWidth="1"/>
    <x:col min="10" max="10" width="17" hidden="0" customWidth="1"/>
    <x:col min="11" max="11" width="17" hidden="0" customWidth="1"/>
    <x:col min="12" max="12" width="17" hidden="0" customWidth="1"/>
    <x:col min="13" max="13" width="17" hidden="0" customWidth="1"/>
    <x:col min="14" max="14" width="17" hidden="0" customWidth="1"/>
  </x:cols>
  <x:sheetData>
    <x:row r="1" ht="23" customHeight="1">
      <x:c r="A1" s="2"/>
      <x:c r="B1" s="2"/>
      <x:c r="C1" s="2"/>
      <x:c r="D1" s="2"/>
      <x:c r="E1" s="2"/>
      <x:c r="F1" s="2"/>
      <x:c r="G1" s="2"/>
      <x:c r="H1" s="2"/>
      <x:c r="I1" s="2"/>
      <x:c r="J1" s="2"/>
      <x:c r="K1" s="2"/>
      <x:c r="L1" s="2"/>
      <x:c r="M1" s="2"/>
      <x:c r="N1" s="2"/>
    </x:row>
    <x:row r="2" ht="23" customHeight="1">
      <x:c r="A2" s="2"/>
      <x:c r="B2" s="2"/>
      <x:c r="C2" s="3" t="str">
        <x:v>Scenario and sensitivity analysis</x:v>
      </x:c>
      <x:c r="D2" s="2"/>
      <x:c r="E2" s="2"/>
      <x:c r="F2" s="2"/>
      <x:c r="G2" s="2"/>
      <x:c r="H2" s="2"/>
      <x:c r="I2" s="2"/>
      <x:c r="J2" s="2"/>
      <x:c r="K2" s="2"/>
      <x:c r="L2" s="2"/>
      <x:c r="M2" s="2"/>
      <x:c r="N2" s="2"/>
    </x:row>
    <x:row r="3" ht="23" customHeight="1">
      <x:c r="A3" s="2"/>
      <x:c r="B3" s="2"/>
      <x:c r="C3" s="5" t="str">
        <x:v>Live comparison preserves the source model’s four linear cash-flow components.</x:v>
      </x:c>
      <x:c r="D3" s="2"/>
      <x:c r="E3" s="2"/>
      <x:c r="F3" s="2"/>
      <x:c r="G3" s="2"/>
      <x:c r="H3" s="2"/>
      <x:c r="I3" s="2"/>
      <x:c r="J3" s="2"/>
      <x:c r="K3" s="2"/>
      <x:c r="L3" s="2"/>
      <x:c r="M3" s="2"/>
      <x:c r="N3" s="2"/>
    </x:row>
    <x:row r="4" ht="23" customHeight="1">
      <x:c r="A4" s="2"/>
      <x:c r="B4" s="2"/>
      <x:c r="C4" s="2"/>
      <x:c r="D4" s="2"/>
      <x:c r="E4" s="2"/>
      <x:c r="F4" s="2"/>
      <x:c r="G4" s="2"/>
      <x:c r="H4" s="2"/>
      <x:c r="I4" s="2"/>
      <x:c r="J4" s="2"/>
      <x:c r="K4" s="2"/>
      <x:c r="L4" s="2"/>
      <x:c r="M4" s="2"/>
      <x:c r="N4" s="2"/>
    </x:row>
    <x:row r="5" ht="23" customHeight="1">
      <x:c r="A5" s="2"/>
      <x:c r="B5" s="2"/>
      <x:c r="C5" s="2" t="str">
        <x:v>Selected scenario</x:v>
      </x:c>
      <x:c r="D5" s="56" t="str">
        <x:f>'Assumptions'!E6</x:f>
        <x:v>Base</x:v>
      </x:c>
      <x:c r="E5" s="2"/>
      <x:c r="F5" s="2"/>
      <x:c r="G5" s="2"/>
      <x:c r="H5" s="2"/>
      <x:c r="I5" s="2"/>
      <x:c r="J5" s="2"/>
      <x:c r="K5" s="2"/>
      <x:c r="L5" s="2"/>
      <x:c r="M5" s="2"/>
      <x:c r="N5" s="2"/>
    </x:row>
    <x:row r="6" ht="23" customHeight="1">
      <x:c r="A6" s="2"/>
      <x:c r="B6" s="2"/>
      <x:c r="C6" s="2"/>
      <x:c r="D6" s="2"/>
      <x:c r="E6" s="2"/>
      <x:c r="F6" s="2"/>
      <x:c r="G6" s="2"/>
      <x:c r="H6" s="2"/>
      <x:c r="I6" s="2"/>
      <x:c r="J6" s="2"/>
      <x:c r="K6" s="2"/>
      <x:c r="L6" s="2"/>
      <x:c r="M6" s="2"/>
      <x:c r="N6" s="2"/>
    </x:row>
    <x:row r="7" ht="28" customHeight="1">
      <x:c r="A7" s="2"/>
      <x:c r="B7" s="2"/>
      <x:c r="C7" s="11" t="str">
        <x:v>Scenario</x:v>
      </x:c>
      <x:c r="D7" s="11" t="str">
        <x:v>Discount rate</x:v>
      </x:c>
      <x:c r="E7" s="11" t="str">
        <x:v>B NPV</x:v>
      </x:c>
      <x:c r="F7" s="11" t="str">
        <x:v>C NPV</x:v>
      </x:c>
      <x:c r="G7" s="11" t="str">
        <x:v>Preferred</x:v>
      </x:c>
      <x:c r="H7" s="11" t="str">
        <x:v>Weight</x:v>
      </x:c>
      <x:c r="I7" s="77" t="str">
        <x:v>Input status</x:v>
      </x:c>
      <x:c r="J7" s="77"/>
      <x:c r="K7" s="77"/>
      <x:c r="L7" s="77"/>
      <x:c r="M7" s="2"/>
      <x:c r="N7" s="2"/>
    </x:row>
    <x:row r="8" ht="23" customHeight="1">
      <x:c r="A8" s="2"/>
      <x:c r="B8" s="2"/>
      <x:c r="C8" s="2" t="str">
        <x:v>Base</x:v>
      </x:c>
      <x:c r="D8" s="33" t="n">
        <x:f>'Assumptions'!E81</x:f>
        <x:v>0.085</x:v>
      </x:c>
      <x:c r="E8" s="91" t="n">
        <x:f>IF(I8="OK",SUMPRODUCT(D21:N21,D34:N34)*'Assumptions'!E61*'Assumptions'!E66+SUMPRODUCT(D22:N22,D34:N34)*'Assumptions'!E76+SUMPRODUCT(D23:N23,D34:N34)*'Assumptions'!E71+SUMPRODUCT(D24:N24,D34:N34),"n.a.")</x:f>
        <x:v>-1754620.4545888233</x:v>
      </x:c>
      <x:c r="F8" s="91" t="n">
        <x:f>IF(I8="OK",SUMPRODUCT(D28:N28,D34:N34)*'Assumptions'!E61*'Assumptions'!E66+SUMPRODUCT(D29:N29,D34:N34)*'Assumptions'!E76+SUMPRODUCT(D30:N30,D34:N34)*'Assumptions'!E71+SUMPRODUCT(D31:N31,D34:N34),"n.a.")</x:f>
        <x:v>68530.63965304848</x:v>
      </x:c>
      <x:c r="G8" s="69" t="str">
        <x:f>IF(I8="OK",IF(MAX(E8,F8)&lt;=0,"A Existing",IF(E8&gt;F8,"B Full","C Partial")),"INPUT ERROR")</x:f>
        <x:v>C Partial</x:v>
      </x:c>
      <x:c r="H8" s="33" t="n">
        <x:f>'Assumptions'!E86</x:f>
        <x:v>0.5</x:v>
      </x:c>
      <x:c r="I8" s="79" t="str">
        <x:f>IF('Assumptions'!G61&lt;&gt;"OK",'Assumptions'!G61,IF('Assumptions'!G66&lt;&gt;"OK",'Assumptions'!G66,IF('Assumptions'!G71&lt;&gt;"OK",'Assumptions'!G71,IF('Assumptions'!G76&lt;&gt;"OK",'Assumptions'!G76,IF('Assumptions'!G81&lt;&gt;"OK",'Assumptions'!G81,IF('Assumptions'!$G$91="MACRS valid","OK",'Assumptions'!$G$91))))))</x:f>
        <x:v>OK</x:v>
      </x:c>
      <x:c r="J8" s="77"/>
      <x:c r="K8" s="77"/>
      <x:c r="L8" s="77"/>
      <x:c r="M8" s="2"/>
      <x:c r="N8" s="2"/>
    </x:row>
    <x:row r="9" ht="23" customHeight="1">
      <x:c r="A9" s="2"/>
      <x:c r="B9" s="2"/>
      <x:c r="C9" s="2" t="str">
        <x:v>Optimistic</x:v>
      </x:c>
      <x:c r="D9" s="33" t="n">
        <x:f>'Assumptions'!E82</x:f>
        <x:v>0.07</x:v>
      </x:c>
      <x:c r="E9" s="91" t="n">
        <x:f>IF(I9="OK",SUMPRODUCT(D21:N21,D35:N35)*'Assumptions'!E62*'Assumptions'!E67+SUMPRODUCT(D22:N22,D35:N35)*'Assumptions'!E77+SUMPRODUCT(D23:N23,D35:N35)*'Assumptions'!E72+SUMPRODUCT(D24:N24,D35:N35),"n.a.")</x:f>
        <x:v>-514311.9420634783</x:v>
      </x:c>
      <x:c r="F9" s="91" t="n">
        <x:f>IF(I9="OK",SUMPRODUCT(D28:N28,D35:N35)*'Assumptions'!E62*'Assumptions'!E67+SUMPRODUCT(D29:N29,D35:N35)*'Assumptions'!E77+SUMPRODUCT(D30:N30,D35:N35)*'Assumptions'!E72+SUMPRODUCT(D31:N31,D35:N35),"n.a.")</x:f>
        <x:v>621751.6997398164</x:v>
      </x:c>
      <x:c r="G9" s="69" t="str">
        <x:f>IF(I9="OK",IF(MAX(E9,F9)&lt;=0,"A Existing",IF(E9&gt;F9,"B Full","C Partial")),"INPUT ERROR")</x:f>
        <x:v>C Partial</x:v>
      </x:c>
      <x:c r="H9" s="33" t="n">
        <x:f>'Assumptions'!F86</x:f>
        <x:v>0.2</x:v>
      </x:c>
      <x:c r="I9" s="79" t="str">
        <x:f>IF('Assumptions'!G62&lt;&gt;"OK",'Assumptions'!G62,IF('Assumptions'!G67&lt;&gt;"OK",'Assumptions'!G67,IF('Assumptions'!G72&lt;&gt;"OK",'Assumptions'!G72,IF('Assumptions'!G77&lt;&gt;"OK",'Assumptions'!G77,IF('Assumptions'!G82&lt;&gt;"OK",'Assumptions'!G82,IF('Assumptions'!$G$91="MACRS valid","OK",'Assumptions'!$G$91))))))</x:f>
        <x:v>OK</x:v>
      </x:c>
      <x:c r="J9" s="77"/>
      <x:c r="K9" s="77"/>
      <x:c r="L9" s="77"/>
      <x:c r="M9" s="2"/>
      <x:c r="N9" s="2"/>
    </x:row>
    <x:row r="10" ht="23" customHeight="1">
      <x:c r="A10" s="2"/>
      <x:c r="B10" s="2"/>
      <x:c r="C10" s="2" t="str">
        <x:v>Downside</x:v>
      </x:c>
      <x:c r="D10" s="33" t="n">
        <x:f>'Assumptions'!E83</x:f>
        <x:v>0.11</x:v>
      </x:c>
      <x:c r="E10" s="91" t="n">
        <x:f>IF(I10="OK",SUMPRODUCT(D21:N21,D36:N36)*'Assumptions'!E63*'Assumptions'!E68+SUMPRODUCT(D22:N22,D36:N36)*'Assumptions'!E78+SUMPRODUCT(D23:N23,D36:N36)*'Assumptions'!E73+SUMPRODUCT(D24:N24,D36:N36),"n.a.")</x:f>
        <x:v>-3908536.7824285496</x:v>
      </x:c>
      <x:c r="F10" s="91" t="n">
        <x:f>IF(I10="OK",SUMPRODUCT(D28:N28,D36:N36)*'Assumptions'!E63*'Assumptions'!E68+SUMPRODUCT(D29:N29,D36:N36)*'Assumptions'!E78+SUMPRODUCT(D30:N30,D36:N36)*'Assumptions'!E73+SUMPRODUCT(D31:N31,D36:N36),"n.a.")</x:f>
        <x:v>-838052.2224812</x:v>
      </x:c>
      <x:c r="G10" s="69" t="str">
        <x:f>IF(I10="OK",IF(MAX(E10,F10)&lt;=0,"A Existing",IF(E10&gt;F10,"B Full","C Partial")),"INPUT ERROR")</x:f>
        <x:v>A Existing</x:v>
      </x:c>
      <x:c r="H10" s="33" t="n">
        <x:f>'Assumptions'!G86</x:f>
        <x:v>0.3</x:v>
      </x:c>
      <x:c r="I10" s="79" t="str">
        <x:f>IF('Assumptions'!G63&lt;&gt;"OK",'Assumptions'!G63,IF('Assumptions'!G68&lt;&gt;"OK",'Assumptions'!G68,IF('Assumptions'!G73&lt;&gt;"OK",'Assumptions'!G73,IF('Assumptions'!G78&lt;&gt;"OK",'Assumptions'!G78,IF('Assumptions'!G83&lt;&gt;"OK",'Assumptions'!G83,IF('Assumptions'!$G$91="MACRS valid","OK",'Assumptions'!$G$91))))))</x:f>
        <x:v>OK</x:v>
      </x:c>
      <x:c r="J10" s="77"/>
      <x:c r="K10" s="77"/>
      <x:c r="L10" s="77"/>
      <x:c r="M10" s="2"/>
      <x:c r="N10" s="2"/>
    </x:row>
    <x:row r="11" ht="23" customHeight="1">
      <x:c r="A11" s="2"/>
      <x:c r="B11" s="2"/>
      <x:c r="C11" s="2"/>
      <x:c r="D11" s="2"/>
      <x:c r="E11" s="94"/>
      <x:c r="F11" s="94"/>
      <x:c r="G11" s="2"/>
      <x:c r="H11" s="2"/>
      <x:c r="I11" s="2"/>
      <x:c r="J11" s="2"/>
      <x:c r="K11" s="2"/>
      <x:c r="L11" s="2"/>
      <x:c r="M11" s="2"/>
      <x:c r="N11" s="2"/>
    </x:row>
    <x:row r="12" ht="23" customHeight="1">
      <x:c r="A12" s="2"/>
      <x:c r="B12" s="2"/>
      <x:c r="C12" s="2" t="str">
        <x:v>Subjectively weighted NPV</x:v>
      </x:c>
      <x:c r="D12" s="2"/>
      <x:c r="E12" s="91" t="n">
        <x:f>IF(AND(COUNT(E8:F10)=6,'Assumptions'!$G$87="Weights valid"),SUMPRODUCT(E8:E10,H8:H10),"n.a.")</x:f>
        <x:v>-2152733.650435672</x:v>
      </x:c>
      <x:c r="F12" s="91" t="n">
        <x:f>IF(AND(COUNT(E8:F10)=6,'Assumptions'!$G$87="Weights valid"),SUMPRODUCT(F8:F10,H8:H10),"n.a.")</x:f>
        <x:v>-92800.00696987248</x:v>
      </x:c>
      <x:c r="G12" s="2"/>
      <x:c r="H12" s="2"/>
      <x:c r="I12" s="2"/>
      <x:c r="J12" s="2"/>
      <x:c r="K12" s="2"/>
      <x:c r="L12" s="2"/>
      <x:c r="M12" s="2"/>
      <x:c r="N12" s="2"/>
    </x:row>
    <x:row r="13" ht="23" customHeight="1">
      <x:c r="A13" s="2"/>
      <x:c r="B13" s="2"/>
      <x:c r="C13" s="2"/>
      <x:c r="D13" s="2"/>
      <x:c r="E13" s="2"/>
      <x:c r="F13" s="2"/>
      <x:c r="G13" s="2"/>
      <x:c r="H13" s="2"/>
      <x:c r="I13" s="2"/>
      <x:c r="J13" s="2"/>
      <x:c r="K13" s="2"/>
      <x:c r="L13" s="2"/>
      <x:c r="M13" s="2"/>
      <x:c r="N13" s="2"/>
    </x:row>
    <x:row r="14" ht="23" customHeight="1">
      <x:c r="A14" s="2"/>
      <x:c r="B14" s="2"/>
      <x:c r="C14" s="5" t="str">
        <x:v>Weights are judgments, not probabilities. The comparison does not imply forecast certainty.</x:v>
      </x:c>
      <x:c r="D14" s="2"/>
      <x:c r="E14" s="2"/>
      <x:c r="F14" s="2"/>
      <x:c r="G14" s="2"/>
      <x:c r="H14" s="2"/>
      <x:c r="I14" s="2"/>
      <x:c r="J14" s="2"/>
      <x:c r="K14" s="2"/>
      <x:c r="L14" s="2"/>
      <x:c r="M14" s="2"/>
      <x:c r="N14" s="2"/>
    </x:row>
    <x:row r="15" ht="23" customHeight="1">
      <x:c r="A15" s="2"/>
      <x:c r="B15" s="2"/>
      <x:c r="C15" s="2"/>
      <x:c r="D15" s="2"/>
      <x:c r="E15" s="2"/>
      <x:c r="F15" s="2"/>
      <x:c r="G15" s="2"/>
      <x:c r="H15" s="2"/>
      <x:c r="I15" s="2"/>
      <x:c r="J15" s="2"/>
      <x:c r="K15" s="2"/>
      <x:c r="L15" s="2"/>
      <x:c r="M15" s="2"/>
      <x:c r="N15" s="2"/>
    </x:row>
    <x:row r="16" ht="23" customHeight="1">
      <x:c r="A16" s="2"/>
      <x:c r="B16" s="2"/>
      <x:c r="C16" s="2"/>
      <x:c r="D16" s="2"/>
      <x:c r="E16" s="2"/>
      <x:c r="F16" s="2"/>
      <x:c r="G16" s="2"/>
      <x:c r="H16" s="2"/>
      <x:c r="I16" s="2"/>
      <x:c r="J16" s="2"/>
      <x:c r="K16" s="2"/>
      <x:c r="L16" s="2"/>
      <x:c r="M16" s="2"/>
      <x:c r="N16" s="2"/>
    </x:row>
    <x:row r="17" ht="23" customHeight="1">
      <x:c r="A17" s="2"/>
      <x:c r="B17" s="2"/>
      <x:c r="C17" s="18" t="str">
        <x:v>Project year</x:v>
      </x:c>
      <x:c r="D17" s="18" t="n">
        <x:v>0</x:v>
      </x:c>
      <x:c r="E17" s="18" t="n">
        <x:v>1</x:v>
      </x:c>
      <x:c r="F17" s="18" t="n">
        <x:v>2</x:v>
      </x:c>
      <x:c r="G17" s="18" t="n">
        <x:v>3</x:v>
      </x:c>
      <x:c r="H17" s="18" t="n">
        <x:v>4</x:v>
      </x:c>
      <x:c r="I17" s="18" t="n">
        <x:v>5</x:v>
      </x:c>
      <x:c r="J17" s="18" t="n">
        <x:v>6</x:v>
      </x:c>
      <x:c r="K17" s="18" t="n">
        <x:v>7</x:v>
      </x:c>
      <x:c r="L17" s="18" t="n">
        <x:v>8</x:v>
      </x:c>
      <x:c r="M17" s="18" t="n">
        <x:v>9</x:v>
      </x:c>
      <x:c r="N17" s="18" t="n">
        <x:v>10</x:v>
      </x:c>
    </x:row>
    <x:row r="18" ht="23" customHeight="1">
      <x:c r="A18" s="2"/>
      <x:c r="B18" s="2"/>
      <x:c r="C18" s="2" t="str">
        <x:v>Cash-flow date</x:v>
      </x:c>
      <x:c r="D18" s="41" t="n">
        <x:f>'Assumptions'!$E$21</x:f>
        <x:v>46387</x:v>
      </x:c>
      <x:c r="E18" s="42" t="n">
        <x:f>DATE(YEAR($D$18)+E$17,12,31)</x:f>
        <x:v>46752</x:v>
      </x:c>
      <x:c r="F18" s="42" t="n">
        <x:f>DATE(YEAR($D$18)+F$17,12,31)</x:f>
        <x:v>47118</x:v>
      </x:c>
      <x:c r="G18" s="42" t="n">
        <x:f>DATE(YEAR($D$18)+G$17,12,31)</x:f>
        <x:v>47483</x:v>
      </x:c>
      <x:c r="H18" s="42" t="n">
        <x:f>DATE(YEAR($D$18)+H$17,12,31)</x:f>
        <x:v>47848</x:v>
      </x:c>
      <x:c r="I18" s="42" t="n">
        <x:f>DATE(YEAR($D$18)+I$17,12,31)</x:f>
        <x:v>48213</x:v>
      </x:c>
      <x:c r="J18" s="42" t="n">
        <x:f>DATE(YEAR($D$18)+J$17,12,31)</x:f>
        <x:v>48579</x:v>
      </x:c>
      <x:c r="K18" s="42" t="n">
        <x:f>DATE(YEAR($D$18)+K$17,12,31)</x:f>
        <x:v>48944</x:v>
      </x:c>
      <x:c r="L18" s="42" t="n">
        <x:f>DATE(YEAR($D$18)+L$17,12,31)</x:f>
        <x:v>49309</x:v>
      </x:c>
      <x:c r="M18" s="42" t="n">
        <x:f>DATE(YEAR($D$18)+M$17,12,31)</x:f>
        <x:v>49674</x:v>
      </x:c>
      <x:c r="N18" s="42" t="n">
        <x:f>DATE(YEAR($D$18)+N$17,12,31)</x:f>
        <x:v>50040</x:v>
      </x:c>
    </x:row>
    <x:row r="19" ht="23" customHeight="1">
      <x:c r="A19" s="2"/>
      <x:c r="B19" s="2"/>
      <x:c r="C19" s="2"/>
      <x:c r="D19" s="2"/>
      <x:c r="E19" s="2"/>
      <x:c r="F19" s="2"/>
      <x:c r="G19" s="2"/>
      <x:c r="H19" s="2"/>
      <x:c r="I19" s="2"/>
      <x:c r="J19" s="2"/>
      <x:c r="K19" s="2"/>
      <x:c r="L19" s="2"/>
      <x:c r="M19" s="2"/>
      <x:c r="N19" s="2"/>
    </x:row>
    <x:row r="20" ht="23" customHeight="1">
      <x:c r="A20" s="2"/>
      <x:c r="B20" s="2"/>
      <x:c r="C20" s="18" t="str">
        <x:v>B Full: annual unit cash-flow components</x:v>
      </x:c>
      <x:c r="D20" s="18"/>
      <x:c r="E20" s="18"/>
      <x:c r="F20" s="18"/>
      <x:c r="G20" s="18"/>
      <x:c r="H20" s="18"/>
      <x:c r="I20" s="18"/>
      <x:c r="J20" s="18"/>
      <x:c r="K20" s="18"/>
      <x:c r="L20" s="18"/>
      <x:c r="M20" s="18"/>
      <x:c r="N20" s="18"/>
    </x:row>
    <x:row r="21" ht="23" customHeight="1">
      <x:c r="A21" s="2"/>
      <x:c r="B21" s="2"/>
      <x:c r="C21" s="2" t="str">
        <x:v>Energy per price × realization</x:v>
      </x:c>
      <x:c r="D21" s="28" t="n">
        <x:f>0</x:f>
        <x:v>0</x:v>
      </x:c>
      <x:c r="E21" s="29" t="n">
        <x:f>'Energy'!$G$19*(1+'Assumptions'!$E$19)^(E$17-1)*(1-'Assumptions'!$E$18)*'Assumptions'!$E$22</x:f>
        <x:v>825984</x:v>
      </x:c>
      <x:c r="F21" s="29" t="n">
        <x:f>'Energy'!$G$19*(1+'Assumptions'!$E$19)^(F$17-1)*(1-'Assumptions'!$E$18)*'Assumptions'!$E$22</x:f>
        <x:v>846633.6</x:v>
      </x:c>
      <x:c r="G21" s="29" t="n">
        <x:f>'Energy'!$G$19*(1+'Assumptions'!$E$19)^(G$17-1)*(1-'Assumptions'!$E$18)*'Assumptions'!$E$22</x:f>
        <x:v>867799.44</x:v>
      </x:c>
      <x:c r="H21" s="29" t="n">
        <x:f>'Energy'!$G$19*(1+'Assumptions'!$E$19)^(H$17-1)*(1-'Assumptions'!$E$18)*'Assumptions'!$E$22</x:f>
        <x:v>889494.4259999996</x:v>
      </x:c>
      <x:c r="I21" s="29" t="n">
        <x:f>'Energy'!$G$19*(1+'Assumptions'!$E$19)^(I$17-1)*(1-'Assumptions'!$E$18)*'Assumptions'!$E$22</x:f>
        <x:v>911731.7866499996</x:v>
      </x:c>
      <x:c r="J21" s="29" t="n">
        <x:f>'Energy'!$G$19*(1+'Assumptions'!$E$19)^(J$17-1)*(1-'Assumptions'!$E$18)*'Assumptions'!$E$22</x:f>
        <x:v>934525.0813162494</x:v>
      </x:c>
      <x:c r="K21" s="29" t="n">
        <x:f>'Energy'!$G$19*(1+'Assumptions'!$E$19)^(K$17-1)*(1-'Assumptions'!$E$18)*'Assumptions'!$E$22</x:f>
        <x:v>957888.2083491557</x:v>
      </x:c>
      <x:c r="L21" s="29" t="n">
        <x:f>'Energy'!$G$19*(1+'Assumptions'!$E$19)^(L$17-1)*(1-'Assumptions'!$E$18)*'Assumptions'!$E$22</x:f>
        <x:v>981835.4135578845</x:v>
      </x:c>
      <x:c r="M21" s="29" t="n">
        <x:f>'Energy'!$G$19*(1+'Assumptions'!$E$19)^(M$17-1)*(1-'Assumptions'!$E$18)*'Assumptions'!$E$22</x:f>
        <x:v>1006381.2988968315</x:v>
      </x:c>
      <x:c r="N21" s="29" t="n">
        <x:f>'Energy'!$G$19*(1+'Assumptions'!$E$19)^(N$17-1)*(1-'Assumptions'!$E$18)*'Assumptions'!$E$22</x:f>
        <x:v>1031540.8313692523</x:v>
      </x:c>
    </x:row>
    <x:row r="22" ht="23" customHeight="1">
      <x:c r="A22" s="2"/>
      <x:c r="B22" s="2"/>
      <x:c r="C22" s="2" t="str">
        <x:v>Maintenance per realization</x:v>
      </x:c>
      <x:c r="D22" s="28" t="n">
        <x:f>0</x:f>
        <x:v>0</x:v>
      </x:c>
      <x:c r="E22" s="29" t="n">
        <x:f>(SUM('Assumptions'!$E$47:$E$48)-SUM('Assumptions'!$F$47:$F$48))*(1+'Assumptions'!$E$20)^(E$17-1)*(1-'Assumptions'!$E$18)*'Assumptions'!$E$22</x:f>
        <x:v>140400</x:v>
      </x:c>
      <x:c r="F22" s="29" t="n">
        <x:f>(SUM('Assumptions'!$E$47:$E$48)-SUM('Assumptions'!$F$47:$F$48))*(1+'Assumptions'!$E$20)^(F$17-1)*(1-'Assumptions'!$E$18)*'Assumptions'!$E$22</x:f>
        <x:v>143909.99999999997</x:v>
      </x:c>
      <x:c r="G22" s="29" t="n">
        <x:f>(SUM('Assumptions'!$E$47:$E$48)-SUM('Assumptions'!$F$47:$F$48))*(1+'Assumptions'!$E$20)^(G$17-1)*(1-'Assumptions'!$E$18)*'Assumptions'!$E$22</x:f>
        <x:v>147507.74999999997</x:v>
      </x:c>
      <x:c r="H22" s="29" t="n">
        <x:f>(SUM('Assumptions'!$E$47:$E$48)-SUM('Assumptions'!$F$47:$F$48))*(1+'Assumptions'!$E$20)^(H$17-1)*(1-'Assumptions'!$E$18)*'Assumptions'!$E$22</x:f>
        <x:v>151195.44374999995</x:v>
      </x:c>
      <x:c r="I22" s="29" t="n">
        <x:f>(SUM('Assumptions'!$E$47:$E$48)-SUM('Assumptions'!$F$47:$F$48))*(1+'Assumptions'!$E$20)^(I$17-1)*(1-'Assumptions'!$E$18)*'Assumptions'!$E$22</x:f>
        <x:v>154975.32984374993</x:v>
      </x:c>
      <x:c r="J22" s="29" t="n">
        <x:f>(SUM('Assumptions'!$E$47:$E$48)-SUM('Assumptions'!$F$47:$F$48))*(1+'Assumptions'!$E$20)^(J$17-1)*(1-'Assumptions'!$E$18)*'Assumptions'!$E$22</x:f>
        <x:v>158849.71308984366</x:v>
      </x:c>
      <x:c r="K22" s="29" t="n">
        <x:f>(SUM('Assumptions'!$E$47:$E$48)-SUM('Assumptions'!$F$47:$F$48))*(1+'Assumptions'!$E$20)^(K$17-1)*(1-'Assumptions'!$E$18)*'Assumptions'!$E$22</x:f>
        <x:v>162820.95591708974</x:v>
      </x:c>
      <x:c r="L22" s="29" t="n">
        <x:f>(SUM('Assumptions'!$E$47:$E$48)-SUM('Assumptions'!$F$47:$F$48))*(1+'Assumptions'!$E$20)^(L$17-1)*(1-'Assumptions'!$E$18)*'Assumptions'!$E$22</x:f>
        <x:v>166891.479815017</x:v>
      </x:c>
      <x:c r="M22" s="29" t="n">
        <x:f>(SUM('Assumptions'!$E$47:$E$48)-SUM('Assumptions'!$F$47:$F$48))*(1+'Assumptions'!$E$20)^(M$17-1)*(1-'Assumptions'!$E$18)*'Assumptions'!$E$22</x:f>
        <x:v>171063.76681039238</x:v>
      </x:c>
      <x:c r="N22" s="29" t="n">
        <x:f>(SUM('Assumptions'!$E$47:$E$48)-SUM('Assumptions'!$F$47:$F$48))*(1+'Assumptions'!$E$20)^(N$17-1)*(1-'Assumptions'!$E$18)*'Assumptions'!$E$22</x:f>
        <x:v>175340.36098065219</x:v>
      </x:c>
    </x:row>
    <x:row r="23" ht="23" customHeight="1">
      <x:c r="A23" s="2"/>
      <x:c r="B23" s="2"/>
      <x:c r="C23" s="2" t="str">
        <x:v>Initial capital per multiplier</x:v>
      </x:c>
      <x:c r="D23" s="29" t="n">
        <x:f>-'CapEx'!F25</x:f>
        <x:v>-5000000</x:v>
      </x:c>
      <x:c r="E23" s="68" t="n">
        <x:f>(((SUMIFS('CapEx'!$F$8:$F$21,'CapEx'!$J$8:$J$21,"Real")+'CapEx'!$F$24)/'Assumptions'!$E$24*IF(E$17=1,(12-'Assumptions'!$E$27+0.5)/12,MAX(0,MIN(1,'Assumptions'!$E$24-(12-'Assumptions'!$E$27+0.5)/12-(E$17-2)))))+(IF(E$17&lt;=6,SUMIFS('CapEx'!$F$8:$F$21,'CapEx'!$J$8:$J$21,"Computer")*INDEX('Assumptions'!$D$90:$I$90,1,E$17),0))+(SUMIFS('CapEx'!$F$8:$F$21,'CapEx'!$J$8:$J$21,"Expense")))*'Assumptions'!$E$18</x:f>
        <x:v>42457.69230769231</x:v>
      </x:c>
      <x:c r="F23" s="68" t="n">
        <x:f>(((SUMIFS('CapEx'!$F$8:$F$21,'CapEx'!$J$8:$J$21,"Real")+'CapEx'!$F$24)/'Assumptions'!$E$24*IF(F$17=1,(12-'Assumptions'!$E$27+0.5)/12,MAX(0,MIN(1,'Assumptions'!$E$24-(12-'Assumptions'!$E$27+0.5)/12-(F$17-2)))))+(IF(F$17&lt;=6,SUMIFS('CapEx'!$F$8:$F$21,'CapEx'!$J$8:$J$21,"Computer")*INDEX('Assumptions'!$D$90:$I$90,1,F$17),0))+(0))*'Assumptions'!$E$18</x:f>
        <x:v>37778.461538461546</x:v>
      </x:c>
      <x:c r="G23" s="68" t="n">
        <x:f>(((SUMIFS('CapEx'!$F$8:$F$21,'CapEx'!$J$8:$J$21,"Real")+'CapEx'!$F$24)/'Assumptions'!$E$24*IF(G$17=1,(12-'Assumptions'!$E$27+0.5)/12,MAX(0,MIN(1,'Assumptions'!$E$24-(12-'Assumptions'!$E$27+0.5)/12-(G$17-2)))))+(IF(G$17&lt;=6,SUMIFS('CapEx'!$F$8:$F$21,'CapEx'!$J$8:$J$21,"Computer")*INDEX('Assumptions'!$D$90:$I$90,1,G$17),0))+(0))*'Assumptions'!$E$18</x:f>
        <x:v>36882.461538461546</x:v>
      </x:c>
      <x:c r="H23" s="68" t="n">
        <x:f>(((SUMIFS('CapEx'!$F$8:$F$21,'CapEx'!$J$8:$J$21,"Real")+'CapEx'!$F$24)/'Assumptions'!$E$24*IF(H$17=1,(12-'Assumptions'!$E$27+0.5)/12,MAX(0,MIN(1,'Assumptions'!$E$24-(12-'Assumptions'!$E$27+0.5)/12-(H$17-2)))))+(IF(H$17&lt;=6,SUMIFS('CapEx'!$F$8:$F$21,'CapEx'!$J$8:$J$21,"Computer")*INDEX('Assumptions'!$D$90:$I$90,1,H$17),0))+(0))*'Assumptions'!$E$18</x:f>
        <x:v>36344.86153846154</x:v>
      </x:c>
      <x:c r="I23" s="68" t="n">
        <x:f>(((SUMIFS('CapEx'!$F$8:$F$21,'CapEx'!$J$8:$J$21,"Real")+'CapEx'!$F$24)/'Assumptions'!$E$24*IF(I$17=1,(12-'Assumptions'!$E$27+0.5)/12,MAX(0,MIN(1,'Assumptions'!$E$24-(12-'Assumptions'!$E$27+0.5)/12-(I$17-2)))))+(IF(I$17&lt;=6,SUMIFS('CapEx'!$F$8:$F$21,'CapEx'!$J$8:$J$21,"Computer")*INDEX('Assumptions'!$D$90:$I$90,1,I$17),0))+(0))*'Assumptions'!$E$18</x:f>
        <x:v>36344.86153846154</x:v>
      </x:c>
      <x:c r="J23" s="68" t="n">
        <x:f>(((SUMIFS('CapEx'!$F$8:$F$21,'CapEx'!$J$8:$J$21,"Real")+'CapEx'!$F$24)/'Assumptions'!$E$24*IF(J$17=1,(12-'Assumptions'!$E$27+0.5)/12,MAX(0,MIN(1,'Assumptions'!$E$24-(12-'Assumptions'!$E$27+0.5)/12-(J$17-2)))))+(IF(J$17&lt;=6,SUMIFS('CapEx'!$F$8:$F$21,'CapEx'!$J$8:$J$21,"Computer")*INDEX('Assumptions'!$D$90:$I$90,1,J$17),0))+(0))*'Assumptions'!$E$18</x:f>
        <x:v>35941.66153846154</x:v>
      </x:c>
      <x:c r="K23" s="68" t="n">
        <x:f>(((SUMIFS('CapEx'!$F$8:$F$21,'CapEx'!$J$8:$J$21,"Real")+'CapEx'!$F$24)/'Assumptions'!$E$24*IF(K$17=1,(12-'Assumptions'!$E$27+0.5)/12,MAX(0,MIN(1,'Assumptions'!$E$24-(12-'Assumptions'!$E$27+0.5)/12-(K$17-2)))))+(IF(K$17&lt;=6,SUMIFS('CapEx'!$F$8:$F$21,'CapEx'!$J$8:$J$21,"Computer")*INDEX('Assumptions'!$D$90:$I$90,1,K$17),0))+(0))*'Assumptions'!$E$18</x:f>
        <x:v>35538.46153846154</x:v>
      </x:c>
      <x:c r="L23" s="68" t="n">
        <x:f>(((SUMIFS('CapEx'!$F$8:$F$21,'CapEx'!$J$8:$J$21,"Real")+'CapEx'!$F$24)/'Assumptions'!$E$24*IF(L$17=1,(12-'Assumptions'!$E$27+0.5)/12,MAX(0,MIN(1,'Assumptions'!$E$24-(12-'Assumptions'!$E$27+0.5)/12-(L$17-2)))))+(IF(L$17&lt;=6,SUMIFS('CapEx'!$F$8:$F$21,'CapEx'!$J$8:$J$21,"Computer")*INDEX('Assumptions'!$D$90:$I$90,1,L$17),0))+(0))*'Assumptions'!$E$18</x:f>
        <x:v>35538.46153846154</x:v>
      </x:c>
      <x:c r="M23" s="68" t="n">
        <x:f>(((SUMIFS('CapEx'!$F$8:$F$21,'CapEx'!$J$8:$J$21,"Real")+'CapEx'!$F$24)/'Assumptions'!$E$24*IF(M$17=1,(12-'Assumptions'!$E$27+0.5)/12,MAX(0,MIN(1,'Assumptions'!$E$24-(12-'Assumptions'!$E$27+0.5)/12-(M$17-2)))))+(IF(M$17&lt;=6,SUMIFS('CapEx'!$F$8:$F$21,'CapEx'!$J$8:$J$21,"Computer")*INDEX('Assumptions'!$D$90:$I$90,1,M$17),0))+(0))*'Assumptions'!$E$18</x:f>
        <x:v>35538.46153846154</x:v>
      </x:c>
      <x:c r="N23" s="68" t="n">
        <x:f>(((SUMIFS('CapEx'!$F$8:$F$21,'CapEx'!$J$8:$J$21,"Real")+'CapEx'!$F$24)/'Assumptions'!$E$24*IF(N$17=1,(12-'Assumptions'!$E$27+0.5)/12,MAX(0,MIN(1,'Assumptions'!$E$24-(12-'Assumptions'!$E$27+0.5)/12-(N$17-2)))))+(IF(N$17&lt;=6,SUMIFS('CapEx'!$F$8:$F$21,'CapEx'!$J$8:$J$21,"Computer")*INDEX('Assumptions'!$D$90:$I$90,1,N$17),0))+(0))*'Assumptions'!$E$18</x:f>
        <x:v>35538.46153846154</x:v>
      </x:c>
    </x:row>
    <x:row r="24" ht="23" customHeight="1">
      <x:c r="A24" s="2"/>
      <x:c r="B24" s="2"/>
      <x:c r="C24" s="2" t="str">
        <x:v>Fixed cash flow</x:v>
      </x:c>
      <x:c r="D24" s="28" t="n">
        <x:f>0</x:f>
        <x:v>0</x:v>
      </x:c>
      <x:c r="E24" s="29" t="n">
        <x:f>-'Assumptions'!$F$49*(1+'Assumptions'!$E$20)^(E$17-1)*(1-'Assumptions'!$E$18)*'Assumptions'!$E$22+(SUM('Tax'!E33:E34)-'Tax'!E19)*'Assumptions'!$E$18+'Tax'!E16-'Tax'!E32</x:f>
        <x:v>-18000</x:v>
      </x:c>
      <x:c r="F24" s="29" t="n">
        <x:f>-'Assumptions'!$F$49*(1+'Assumptions'!$E$20)^(F$17-1)*(1-'Assumptions'!$E$18)*'Assumptions'!$E$22+(SUM('Tax'!F33:F34)-'Tax'!F19)*'Assumptions'!$E$18+'Tax'!F16-'Tax'!F32</x:f>
        <x:v>-18449.999999999996</x:v>
      </x:c>
      <x:c r="G24" s="29" t="n">
        <x:f>-'Assumptions'!$F$49*(1+'Assumptions'!$E$20)^(G$17-1)*(1-'Assumptions'!$E$18)*'Assumptions'!$E$22+(SUM('Tax'!G33:G34)-'Tax'!G19)*'Assumptions'!$E$18+'Tax'!G16-'Tax'!G32</x:f>
        <x:v>821337.3183760683</x:v>
      </x:c>
      <x:c r="H24" s="29" t="n">
        <x:f>-'Assumptions'!$F$49*(1+'Assumptions'!$E$20)^(H$17-1)*(1-'Assumptions'!$E$18)*'Assumptions'!$E$22+(SUM('Tax'!H33:H34)-'Tax'!H19)*'Assumptions'!$E$18+'Tax'!H16-'Tax'!H32</x:f>
        <x:v>-25418.390224358965</x:v>
      </x:c>
      <x:c r="I24" s="29" t="n">
        <x:f>-'Assumptions'!$F$49*(1+'Assumptions'!$E$20)^(I$17-1)*(1-'Assumptions'!$E$18)*'Assumptions'!$E$22+(SUM('Tax'!I33:I34)-'Tax'!I19)*'Assumptions'!$E$18+'Tax'!I16-'Tax'!I32</x:f>
        <x:v>-25902.991005608965</x:v>
      </x:c>
      <x:c r="J24" s="29" t="n">
        <x:f>-'Assumptions'!$F$49*(1+'Assumptions'!$E$20)^(J$17-1)*(1-'Assumptions'!$E$18)*'Assumptions'!$E$22+(SUM('Tax'!J33:J34)-'Tax'!J19)*'Assumptions'!$E$18+'Tax'!J16-'Tax'!J32</x:f>
        <x:v>-26399.70680639021</x:v>
      </x:c>
      <x:c r="K24" s="29" t="n">
        <x:f>-'Assumptions'!$F$49*(1+'Assumptions'!$E$20)^(K$17-1)*(1-'Assumptions'!$E$18)*'Assumptions'!$E$22+(SUM('Tax'!K33:K34)-'Tax'!K19)*'Assumptions'!$E$18+'Tax'!K16-'Tax'!K32</x:f>
        <x:v>494797.08511808084</x:v>
      </x:c>
      <x:c r="L24" s="29" t="n">
        <x:f>-'Assumptions'!$F$49*(1+'Assumptions'!$E$20)^(L$17-1)*(1-'Assumptions'!$E$18)*'Assumptions'!$E$22+(SUM('Tax'!L33:L34)-'Tax'!L19)*'Assumptions'!$E$18+'Tax'!L16-'Tax'!L32</x:f>
        <x:v>-31177.40435307459</x:v>
      </x:c>
      <x:c r="M24" s="29" t="n">
        <x:f>-'Assumptions'!$F$49*(1+'Assumptions'!$E$20)^(M$17-1)*(1-'Assumptions'!$E$18)*'Assumptions'!$E$22+(SUM('Tax'!M33:M34)-'Tax'!M19)*'Assumptions'!$E$18+'Tax'!M16-'Tax'!M32</x:f>
        <x:v>-31712.312942225282</x:v>
      </x:c>
      <x:c r="N24" s="29" t="n">
        <x:f>-'Assumptions'!$F$49*(1+'Assumptions'!$E$20)^(N$17-1)*(1-'Assumptions'!$E$18)*'Assumptions'!$E$22+(SUM('Tax'!N33:N34)-'Tax'!N19)*'Assumptions'!$E$18+'Tax'!N16-'Tax'!N32</x:f>
        <x:v>-32260.594246104745</x:v>
      </x:c>
    </x:row>
    <x:row r="25" ht="23" customHeight="1">
      <x:c r="A25" s="2"/>
      <x:c r="B25" s="2"/>
      <x:c r="C25" s="2" t="str">
        <x:v>Active-case reconstruction</x:v>
      </x:c>
      <x:c r="D25" s="68" t="n">
        <x:f>IF('Assumptions'!$G$6="Inputs valid",D21*'Assumptions'!$E$60*'Assumptions'!$E$65+D22*'Assumptions'!$E$75+D23*'Assumptions'!$E$70+D24,NA())</x:f>
        <x:v>-5000000</x:v>
      </x:c>
      <x:c r="E25" s="68" t="n">
        <x:f>IF('Assumptions'!$G$6="Inputs valid",E21*'Assumptions'!$E$60*'Assumptions'!$E$65+E22*'Assumptions'!$E$75+E23*'Assumptions'!$E$70+E24,NA())</x:f>
        <x:v>330054.49230769236</x:v>
      </x:c>
      <x:c r="F25" s="68" t="n">
        <x:f>IF('Assumptions'!$G$6="Inputs valid",F21*'Assumptions'!$E$60*'Assumptions'!$E$65+F22*'Assumptions'!$E$75+F23*'Assumptions'!$E$70+F24,NA())</x:f>
        <x:v>332565.18153846153</x:v>
      </x:c>
      <x:c r="G25" s="68" t="n">
        <x:f>IF('Assumptions'!$G$6="Inputs valid",G21*'Assumptions'!$E$60*'Assumptions'!$E$65+G22*'Assumptions'!$E$75+G23*'Assumptions'!$E$70+G24,NA())</x:f>
        <x:v>1179287.4179145298</x:v>
      </x:c>
      <x:c r="H25" s="68" t="n">
        <x:f>IF('Assumptions'!$G$6="Inputs valid",H21*'Assumptions'!$E$60*'Assumptions'!$E$65+H22*'Assumptions'!$E$75+H23*'Assumptions'!$E$70+H24,NA())</x:f>
        <x:v>340020.80026410247</x:v>
      </x:c>
      <x:c r="I25" s="68" t="n">
        <x:f>IF('Assumptions'!$G$6="Inputs valid",I21*'Assumptions'!$E$60*'Assumptions'!$E$65+I22*'Assumptions'!$E$75+I23*'Assumptions'!$E$70+I24,NA())</x:f>
        <x:v>347763.5577066024</x:v>
      </x:c>
      <x:c r="J25" s="68" t="n">
        <x:f>IF('Assumptions'!$G$6="Inputs valid",J21*'Assumptions'!$E$60*'Assumptions'!$E$65+J22*'Assumptions'!$E$75+J23*'Assumptions'!$E$70+J24,NA())</x:f>
        <x:v>355296.6840851649</x:v>
      </x:c>
      <x:c r="K25" s="68" t="n">
        <x:f>IF('Assumptions'!$G$6="Inputs valid",K21*'Assumptions'!$E$60*'Assumptions'!$E$65+K22*'Assumptions'!$E$75+K23*'Assumptions'!$E$70+K24,NA())</x:f>
        <x:v>884734.1442434633</x:v>
      </x:c>
      <x:c r="L25" s="68" t="n">
        <x:f>IF('Assumptions'!$G$6="Inputs valid",L21*'Assumptions'!$E$60*'Assumptions'!$E$65+L22*'Assumptions'!$E$75+L23*'Assumptions'!$E$70+L24,NA())</x:f>
        <x:v>367619.61971198086</x:v>
      </x:c>
      <x:c r="M25" s="68" t="n">
        <x:f>IF('Assumptions'!$G$6="Inputs valid",M21*'Assumptions'!$E$60*'Assumptions'!$E$65+M22*'Assumptions'!$E$75+M23*'Assumptions'!$E$70+M24,NA())</x:f>
        <x:v>376166.17518599494</x:v>
      </x:c>
      <x:c r="N25" s="68" t="n">
        <x:f>IF('Assumptions'!$G$6="Inputs valid",N21*'Assumptions'!$E$60*'Assumptions'!$E$65+N22*'Assumptions'!$E$75+N23*'Assumptions'!$E$70+N24,NA())</x:f>
        <x:v>384926.39454685943</x:v>
      </x:c>
    </x:row>
    <x:row r="26" ht="23" customHeight="1">
      <x:c r="A26" s="2"/>
      <x:c r="B26" s="2"/>
      <x:c r="C26" s="2"/>
      <x:c r="D26" s="2"/>
      <x:c r="E26" s="2"/>
      <x:c r="F26" s="2"/>
      <x:c r="G26" s="2"/>
      <x:c r="H26" s="2"/>
      <x:c r="I26" s="2"/>
      <x:c r="J26" s="2"/>
      <x:c r="K26" s="2"/>
      <x:c r="L26" s="2"/>
      <x:c r="M26" s="2"/>
      <x:c r="N26" s="2"/>
    </x:row>
    <x:row r="27" ht="23" customHeight="1">
      <x:c r="A27" s="2"/>
      <x:c r="B27" s="2"/>
      <x:c r="C27" s="18" t="str">
        <x:v>C Partial: annual unit cash-flow components</x:v>
      </x:c>
      <x:c r="D27" s="18"/>
      <x:c r="E27" s="18"/>
      <x:c r="F27" s="18"/>
      <x:c r="G27" s="18"/>
      <x:c r="H27" s="18"/>
      <x:c r="I27" s="18"/>
      <x:c r="J27" s="18"/>
      <x:c r="K27" s="18"/>
      <x:c r="L27" s="18"/>
      <x:c r="M27" s="18"/>
      <x:c r="N27" s="18"/>
    </x:row>
    <x:row r="28" ht="23" customHeight="1">
      <x:c r="A28" s="2"/>
      <x:c r="B28" s="2"/>
      <x:c r="C28" s="2" t="str">
        <x:v>Energy per price × realization</x:v>
      </x:c>
      <x:c r="D28" s="28" t="n">
        <x:f>0</x:f>
        <x:v>0</x:v>
      </x:c>
      <x:c r="E28" s="29" t="n">
        <x:f>'Energy'!$H$19*(1+'Assumptions'!$E$19)^(E$17-1)*(1-'Assumptions'!$E$18)*'Assumptions'!$E$22</x:f>
        <x:v>343440</x:v>
      </x:c>
      <x:c r="F28" s="29" t="n">
        <x:f>'Energy'!$H$19*(1+'Assumptions'!$E$19)^(F$17-1)*(1-'Assumptions'!$E$18)*'Assumptions'!$E$22</x:f>
        <x:v>352025.99999999994</x:v>
      </x:c>
      <x:c r="G28" s="29" t="n">
        <x:f>'Energy'!$H$19*(1+'Assumptions'!$E$19)^(G$17-1)*(1-'Assumptions'!$E$18)*'Assumptions'!$E$22</x:f>
        <x:v>360826.64999999997</x:v>
      </x:c>
      <x:c r="H28" s="29" t="n">
        <x:f>'Energy'!$H$19*(1+'Assumptions'!$E$19)^(H$17-1)*(1-'Assumptions'!$E$18)*'Assumptions'!$E$22</x:f>
        <x:v>369847.31624999986</x:v>
      </x:c>
      <x:c r="I28" s="29" t="n">
        <x:f>'Energy'!$H$19*(1+'Assumptions'!$E$19)^(I$17-1)*(1-'Assumptions'!$E$18)*'Assumptions'!$E$22</x:f>
        <x:v>379093.49915624986</x:v>
      </x:c>
      <x:c r="J28" s="29" t="n">
        <x:f>'Energy'!$H$19*(1+'Assumptions'!$E$19)^(J$17-1)*(1-'Assumptions'!$E$18)*'Assumptions'!$E$22</x:f>
        <x:v>388570.83663515607</x:v>
      </x:c>
      <x:c r="K28" s="29" t="n">
        <x:f>'Energy'!$H$19*(1+'Assumptions'!$E$19)^(K$17-1)*(1-'Assumptions'!$E$18)*'Assumptions'!$E$22</x:f>
        <x:v>398285.10755103495</x:v>
      </x:c>
      <x:c r="L28" s="29" t="n">
        <x:f>'Energy'!$H$19*(1+'Assumptions'!$E$19)^(L$17-1)*(1-'Assumptions'!$E$18)*'Assumptions'!$E$22</x:f>
        <x:v>408242.23523981083</x:v>
      </x:c>
      <x:c r="M28" s="29" t="n">
        <x:f>'Energy'!$H$19*(1+'Assumptions'!$E$19)^(M$17-1)*(1-'Assumptions'!$E$18)*'Assumptions'!$E$22</x:f>
        <x:v>418448.291120806</x:v>
      </x:c>
      <x:c r="N28" s="29" t="n">
        <x:f>'Energy'!$H$19*(1+'Assumptions'!$E$19)^(N$17-1)*(1-'Assumptions'!$E$18)*'Assumptions'!$E$22</x:f>
        <x:v>428909.4983988261</x:v>
      </x:c>
    </x:row>
    <x:row r="29" ht="23" customHeight="1">
      <x:c r="A29" s="2"/>
      <x:c r="B29" s="2"/>
      <x:c r="C29" s="2" t="str">
        <x:v>Maintenance per realization</x:v>
      </x:c>
      <x:c r="D29" s="28" t="n">
        <x:f>0</x:f>
        <x:v>0</x:v>
      </x:c>
      <x:c r="E29" s="29" t="n">
        <x:f>(SUM('Assumptions'!$E$47:$E$48)-SUM('Assumptions'!$G$47:$G$48))*(1+'Assumptions'!$E$20)^(E$17-1)*(1-'Assumptions'!$E$18)*'Assumptions'!$E$22</x:f>
        <x:v>79200</x:v>
      </x:c>
      <x:c r="F29" s="29" t="n">
        <x:f>(SUM('Assumptions'!$E$47:$E$48)-SUM('Assumptions'!$G$47:$G$48))*(1+'Assumptions'!$E$20)^(F$17-1)*(1-'Assumptions'!$E$18)*'Assumptions'!$E$22</x:f>
        <x:v>81179.99999999999</x:v>
      </x:c>
      <x:c r="G29" s="29" t="n">
        <x:f>(SUM('Assumptions'!$E$47:$E$48)-SUM('Assumptions'!$G$47:$G$48))*(1+'Assumptions'!$E$20)^(G$17-1)*(1-'Assumptions'!$E$18)*'Assumptions'!$E$22</x:f>
        <x:v>83209.49999999999</x:v>
      </x:c>
      <x:c r="H29" s="29" t="n">
        <x:f>(SUM('Assumptions'!$E$47:$E$48)-SUM('Assumptions'!$G$47:$G$48))*(1+'Assumptions'!$E$20)^(H$17-1)*(1-'Assumptions'!$E$18)*'Assumptions'!$E$22</x:f>
        <x:v>85289.73749999996</x:v>
      </x:c>
      <x:c r="I29" s="29" t="n">
        <x:f>(SUM('Assumptions'!$E$47:$E$48)-SUM('Assumptions'!$G$47:$G$48))*(1+'Assumptions'!$E$20)^(I$17-1)*(1-'Assumptions'!$E$18)*'Assumptions'!$E$22</x:f>
        <x:v>87421.98093749996</x:v>
      </x:c>
      <x:c r="J29" s="29" t="n">
        <x:f>(SUM('Assumptions'!$E$47:$E$48)-SUM('Assumptions'!$G$47:$G$48))*(1+'Assumptions'!$E$20)^(J$17-1)*(1-'Assumptions'!$E$18)*'Assumptions'!$E$22</x:f>
        <x:v>89607.53046093744</x:v>
      </x:c>
      <x:c r="K29" s="29" t="n">
        <x:f>(SUM('Assumptions'!$E$47:$E$48)-SUM('Assumptions'!$G$47:$G$48))*(1+'Assumptions'!$E$20)^(K$17-1)*(1-'Assumptions'!$E$18)*'Assumptions'!$E$22</x:f>
        <x:v>91847.71872246088</x:v>
      </x:c>
      <x:c r="L29" s="29" t="n">
        <x:f>(SUM('Assumptions'!$E$47:$E$48)-SUM('Assumptions'!$G$47:$G$48))*(1+'Assumptions'!$E$20)^(L$17-1)*(1-'Assumptions'!$E$18)*'Assumptions'!$E$22</x:f>
        <x:v>94143.91169052241</x:v>
      </x:c>
      <x:c r="M29" s="29" t="n">
        <x:f>(SUM('Assumptions'!$E$47:$E$48)-SUM('Assumptions'!$G$47:$G$48))*(1+'Assumptions'!$E$20)^(M$17-1)*(1-'Assumptions'!$E$18)*'Assumptions'!$E$22</x:f>
        <x:v>96497.50948278543</x:v>
      </x:c>
      <x:c r="N29" s="29" t="n">
        <x:f>(SUM('Assumptions'!$E$47:$E$48)-SUM('Assumptions'!$G$47:$G$48))*(1+'Assumptions'!$E$20)^(N$17-1)*(1-'Assumptions'!$E$18)*'Assumptions'!$E$22</x:f>
        <x:v>98909.9472198551</x:v>
      </x:c>
    </x:row>
    <x:row r="30" ht="23" customHeight="1">
      <x:c r="A30" s="2"/>
      <x:c r="B30" s="2"/>
      <x:c r="C30" s="2" t="str">
        <x:v>Initial capital per multiplier</x:v>
      </x:c>
      <x:c r="D30" s="29" t="n">
        <x:f>-'CapEx'!I25</x:f>
        <x:v>-1669000</x:v>
      </x:c>
      <x:c r="E30" s="68" t="n">
        <x:f>(((SUMIFS('CapEx'!$I$8:$I$21,'CapEx'!$J$8:$J$21,"Real")+'CapEx'!$I$24)/'Assumptions'!$E$24*IF(E$17=1,(12-'Assumptions'!$E$27+0.5)/12,MAX(0,MIN(1,'Assumptions'!$E$24-(12-'Assumptions'!$E$27+0.5)/12-(E$17-2)))))+(IF(E$17&lt;=6,SUMIFS('CapEx'!$I$8:$I$21,'CapEx'!$J$8:$J$21,"Computer")*INDEX('Assumptions'!$D$90:$I$90,1,E$17),0))+(SUMIFS('CapEx'!$I$8:$I$21,'CapEx'!$J$8:$J$21,"Expense")))*'Assumptions'!$E$18</x:f>
        <x:v>16316.880341880344</x:v>
      </x:c>
      <x:c r="F30" s="68" t="n">
        <x:f>(((SUMIFS('CapEx'!$I$8:$I$21,'CapEx'!$J$8:$J$21,"Real")+'CapEx'!$I$24)/'Assumptions'!$E$24*IF(F$17=1,(12-'Assumptions'!$E$27+0.5)/12,MAX(0,MIN(1,'Assumptions'!$E$24-(12-'Assumptions'!$E$27+0.5)/12-(F$17-2)))))+(IF(F$17&lt;=6,SUMIFS('CapEx'!$I$8:$I$21,'CapEx'!$J$8:$J$21,"Computer")*INDEX('Assumptions'!$D$90:$I$90,1,F$17),0))+(0))*'Assumptions'!$E$18</x:f>
        <x:v>13111.179487179488</x:v>
      </x:c>
      <x:c r="G30" s="68" t="n">
        <x:f>(((SUMIFS('CapEx'!$I$8:$I$21,'CapEx'!$J$8:$J$21,"Real")+'CapEx'!$I$24)/'Assumptions'!$E$24*IF(G$17=1,(12-'Assumptions'!$E$27+0.5)/12,MAX(0,MIN(1,'Assumptions'!$E$24-(12-'Assumptions'!$E$27+0.5)/12-(G$17-2)))))+(IF(G$17&lt;=6,SUMIFS('CapEx'!$I$8:$I$21,'CapEx'!$J$8:$J$21,"Computer")*INDEX('Assumptions'!$D$90:$I$90,1,G$17),0))+(0))*'Assumptions'!$E$18</x:f>
        <x:v>12573.579487179488</x:v>
      </x:c>
      <x:c r="H30" s="68" t="n">
        <x:f>(((SUMIFS('CapEx'!$I$8:$I$21,'CapEx'!$J$8:$J$21,"Real")+'CapEx'!$I$24)/'Assumptions'!$E$24*IF(H$17=1,(12-'Assumptions'!$E$27+0.5)/12,MAX(0,MIN(1,'Assumptions'!$E$24-(12-'Assumptions'!$E$27+0.5)/12-(H$17-2)))))+(IF(H$17&lt;=6,SUMIFS('CapEx'!$I$8:$I$21,'CapEx'!$J$8:$J$21,"Computer")*INDEX('Assumptions'!$D$90:$I$90,1,H$17),0))+(0))*'Assumptions'!$E$18</x:f>
        <x:v>12251.019487179488</x:v>
      </x:c>
      <x:c r="I30" s="68" t="n">
        <x:f>(((SUMIFS('CapEx'!$I$8:$I$21,'CapEx'!$J$8:$J$21,"Real")+'CapEx'!$I$24)/'Assumptions'!$E$24*IF(I$17=1,(12-'Assumptions'!$E$27+0.5)/12,MAX(0,MIN(1,'Assumptions'!$E$24-(12-'Assumptions'!$E$27+0.5)/12-(I$17-2)))))+(IF(I$17&lt;=6,SUMIFS('CapEx'!$I$8:$I$21,'CapEx'!$J$8:$J$21,"Computer")*INDEX('Assumptions'!$D$90:$I$90,1,I$17),0))+(0))*'Assumptions'!$E$18</x:f>
        <x:v>12251.019487179488</x:v>
      </x:c>
      <x:c r="J30" s="68" t="n">
        <x:f>(((SUMIFS('CapEx'!$I$8:$I$21,'CapEx'!$J$8:$J$21,"Real")+'CapEx'!$I$24)/'Assumptions'!$E$24*IF(J$17=1,(12-'Assumptions'!$E$27+0.5)/12,MAX(0,MIN(1,'Assumptions'!$E$24-(12-'Assumptions'!$E$27+0.5)/12-(J$17-2)))))+(IF(J$17&lt;=6,SUMIFS('CapEx'!$I$8:$I$21,'CapEx'!$J$8:$J$21,"Computer")*INDEX('Assumptions'!$D$90:$I$90,1,J$17),0))+(0))*'Assumptions'!$E$18</x:f>
        <x:v>12009.099487179488</x:v>
      </x:c>
      <x:c r="K30" s="68" t="n">
        <x:f>(((SUMIFS('CapEx'!$I$8:$I$21,'CapEx'!$J$8:$J$21,"Real")+'CapEx'!$I$24)/'Assumptions'!$E$24*IF(K$17=1,(12-'Assumptions'!$E$27+0.5)/12,MAX(0,MIN(1,'Assumptions'!$E$24-(12-'Assumptions'!$E$27+0.5)/12-(K$17-2)))))+(IF(K$17&lt;=6,SUMIFS('CapEx'!$I$8:$I$21,'CapEx'!$J$8:$J$21,"Computer")*INDEX('Assumptions'!$D$90:$I$90,1,K$17),0))+(0))*'Assumptions'!$E$18</x:f>
        <x:v>11767.179487179488</x:v>
      </x:c>
      <x:c r="L30" s="68" t="n">
        <x:f>(((SUMIFS('CapEx'!$I$8:$I$21,'CapEx'!$J$8:$J$21,"Real")+'CapEx'!$I$24)/'Assumptions'!$E$24*IF(L$17=1,(12-'Assumptions'!$E$27+0.5)/12,MAX(0,MIN(1,'Assumptions'!$E$24-(12-'Assumptions'!$E$27+0.5)/12-(L$17-2)))))+(IF(L$17&lt;=6,SUMIFS('CapEx'!$I$8:$I$21,'CapEx'!$J$8:$J$21,"Computer")*INDEX('Assumptions'!$D$90:$I$90,1,L$17),0))+(0))*'Assumptions'!$E$18</x:f>
        <x:v>11767.179487179488</x:v>
      </x:c>
      <x:c r="M30" s="68" t="n">
        <x:f>(((SUMIFS('CapEx'!$I$8:$I$21,'CapEx'!$J$8:$J$21,"Real")+'CapEx'!$I$24)/'Assumptions'!$E$24*IF(M$17=1,(12-'Assumptions'!$E$27+0.5)/12,MAX(0,MIN(1,'Assumptions'!$E$24-(12-'Assumptions'!$E$27+0.5)/12-(M$17-2)))))+(IF(M$17&lt;=6,SUMIFS('CapEx'!$I$8:$I$21,'CapEx'!$J$8:$J$21,"Computer")*INDEX('Assumptions'!$D$90:$I$90,1,M$17),0))+(0))*'Assumptions'!$E$18</x:f>
        <x:v>11767.179487179488</x:v>
      </x:c>
      <x:c r="N30" s="68" t="n">
        <x:f>(((SUMIFS('CapEx'!$I$8:$I$21,'CapEx'!$J$8:$J$21,"Real")+'CapEx'!$I$24)/'Assumptions'!$E$24*IF(N$17=1,(12-'Assumptions'!$E$27+0.5)/12,MAX(0,MIN(1,'Assumptions'!$E$24-(12-'Assumptions'!$E$27+0.5)/12-(N$17-2)))))+(IF(N$17&lt;=6,SUMIFS('CapEx'!$I$8:$I$21,'CapEx'!$J$8:$J$21,"Computer")*INDEX('Assumptions'!$D$90:$I$90,1,N$17),0))+(0))*'Assumptions'!$E$18</x:f>
        <x:v>11767.179487179488</x:v>
      </x:c>
    </x:row>
    <x:row r="31" ht="23" customHeight="1">
      <x:c r="A31" s="2"/>
      <x:c r="B31" s="2"/>
      <x:c r="C31" s="2" t="str">
        <x:v>Fixed cash flow</x:v>
      </x:c>
      <x:c r="D31" s="28" t="n">
        <x:f>0</x:f>
        <x:v>0</x:v>
      </x:c>
      <x:c r="E31" s="29" t="n">
        <x:f>-'Assumptions'!$G$49*(1+'Assumptions'!$E$20)^(E$17-1)*(1-'Assumptions'!$E$18)*'Assumptions'!$E$22+(SUM('Tax'!E49:E50)-'Tax'!E19)*'Assumptions'!$E$18+'Tax'!E16-'Tax'!E48</x:f>
        <x:v>-10800</x:v>
      </x:c>
      <x:c r="F31" s="29" t="n">
        <x:f>-'Assumptions'!$G$49*(1+'Assumptions'!$E$20)^(F$17-1)*(1-'Assumptions'!$E$18)*'Assumptions'!$E$22+(SUM('Tax'!F49:F50)-'Tax'!F19)*'Assumptions'!$E$18+'Tax'!F16-'Tax'!F48</x:f>
        <x:v>-11069.999999999998</x:v>
      </x:c>
      <x:c r="G31" s="29" t="n">
        <x:f>-'Assumptions'!$G$49*(1+'Assumptions'!$E$20)^(G$17-1)*(1-'Assumptions'!$E$18)*'Assumptions'!$E$22+(SUM('Tax'!G49:G50)-'Tax'!G19)*'Assumptions'!$E$18+'Tax'!G16-'Tax'!G48</x:f>
        <x:v>828901.8183760683</x:v>
      </x:c>
      <x:c r="H31" s="29" t="n">
        <x:f>-'Assumptions'!$G$49*(1+'Assumptions'!$E$20)^(H$17-1)*(1-'Assumptions'!$E$18)*'Assumptions'!$E$22+(SUM('Tax'!H49:H50)-'Tax'!H19)*'Assumptions'!$E$18+'Tax'!H16-'Tax'!H48</x:f>
        <x:v>-17664.77772435897</x:v>
      </x:c>
      <x:c r="I31" s="29" t="n">
        <x:f>-'Assumptions'!$G$49*(1+'Assumptions'!$E$20)^(I$17-1)*(1-'Assumptions'!$E$18)*'Assumptions'!$E$22+(SUM('Tax'!I49:I50)-'Tax'!I19)*'Assumptions'!$E$18+'Tax'!I16-'Tax'!I48</x:f>
        <x:v>-569696.8832869255</x:v>
      </x:c>
      <x:c r="J31" s="29" t="n">
        <x:f>-'Assumptions'!$G$49*(1+'Assumptions'!$E$20)^(J$17-1)*(1-'Assumptions'!$E$18)*'Assumptions'!$E$22+(SUM('Tax'!J49:J50)-'Tax'!J19)*'Assumptions'!$E$18+'Tax'!J16-'Tax'!J48</x:f>
        <x:v>-14291.162425180282</x:v>
      </x:c>
      <x:c r="K31" s="29" t="n">
        <x:f>-'Assumptions'!$G$49*(1+'Assumptions'!$E$20)^(K$17-1)*(1-'Assumptions'!$E$18)*'Assumptions'!$E$22+(SUM('Tax'!K49:K50)-'Tax'!K19)*'Assumptions'!$E$18+'Tax'!K16-'Tax'!K48</x:f>
        <x:v>681011.2581843684</x:v>
      </x:c>
      <x:c r="L31" s="29" t="n">
        <x:f>-'Assumptions'!$G$49*(1+'Assumptions'!$E$20)^(L$17-1)*(1-'Assumptions'!$E$18)*'Assumptions'!$E$22+(SUM('Tax'!L49:L50)-'Tax'!L19)*'Assumptions'!$E$18+'Tax'!L16-'Tax'!L48</x:f>
        <x:v>-19905.362282495294</x:v>
      </x:c>
      <x:c r="M31" s="29" t="n">
        <x:f>-'Assumptions'!$G$49*(1+'Assumptions'!$E$20)^(M$17-1)*(1-'Assumptions'!$E$18)*'Assumptions'!$E$22+(SUM('Tax'!M49:M50)-'Tax'!M19)*'Assumptions'!$E$18+'Tax'!M16-'Tax'!M48</x:f>
        <x:v>-20226.30743598571</x:v>
      </x:c>
      <x:c r="N31" s="29" t="n">
        <x:f>-'Assumptions'!$G$49*(1+'Assumptions'!$E$20)^(N$17-1)*(1-'Assumptions'!$E$18)*'Assumptions'!$E$22+(SUM('Tax'!N49:N50)-'Tax'!N19)*'Assumptions'!$E$18+'Tax'!N16-'Tax'!N48</x:f>
        <x:v>-20555.27621831339</x:v>
      </x:c>
    </x:row>
    <x:row r="32" ht="23" customHeight="1">
      <x:c r="A32" s="2"/>
      <x:c r="B32" s="2"/>
      <x:c r="C32" s="2" t="str">
        <x:v>Active-case reconstruction</x:v>
      </x:c>
      <x:c r="D32" s="68" t="n">
        <x:f>IF('Assumptions'!$G$6="Inputs valid",D28*'Assumptions'!$E$60*'Assumptions'!$E$65+D29*'Assumptions'!$E$75+D30*'Assumptions'!$E$70+D31,NA())</x:f>
        <x:v>-1669000</x:v>
      </x:c>
      <x:c r="E32" s="68" t="n">
        <x:f>IF('Assumptions'!$G$6="Inputs valid",E28*'Assumptions'!$E$60*'Assumptions'!$E$65+E29*'Assumptions'!$E$75+E30*'Assumptions'!$E$70+E31,NA())</x:f>
        <x:v>153404.88034188034</x:v>
      </x:c>
      <x:c r="F32" s="68" t="n">
        <x:f>IF('Assumptions'!$G$6="Inputs valid",F28*'Assumptions'!$E$60*'Assumptions'!$E$65+F29*'Assumptions'!$E$75+F30*'Assumptions'!$E$70+F31,NA())</x:f>
        <x:v>153626.37948717948</x:v>
      </x:c>
      <x:c r="G32" s="68" t="n">
        <x:f>IF('Assumptions'!$G$6="Inputs valid",G28*'Assumptions'!$E$60*'Assumptions'!$E$65+G29*'Assumptions'!$E$75+G30*'Assumptions'!$E$70+G31,NA())</x:f>
        <x:v>996850.2278632477</x:v>
      </x:c>
      <x:c r="H32" s="68" t="n">
        <x:f>IF('Assumptions'!$G$6="Inputs valid",H28*'Assumptions'!$E$60*'Assumptions'!$E$65+H29*'Assumptions'!$E$75+H30*'Assumptions'!$E$70+H31,NA())</x:f>
        <x:v>153845.44251282045</x:v>
      </x:c>
      <x:c r="I32" s="68" t="n">
        <x:f>IF('Assumptions'!$G$6="Inputs valid",I28*'Assumptions'!$E$60*'Assumptions'!$E$65+I29*'Assumptions'!$E$75+I30*'Assumptions'!$E$70+I31,NA())</x:f>
        <x:v>-394205.18303099606</x:v>
      </x:c>
      <x:c r="J32" s="68" t="n">
        <x:f>IF('Assumptions'!$G$6="Inputs valid",J28*'Assumptions'!$E$60*'Assumptions'!$E$65+J29*'Assumptions'!$E$75+J30*'Assumptions'!$E$70+J31,NA())</x:f>
        <x:v>165039.63484996787</x:v>
      </x:c>
      <x:c r="K32" s="68" t="n">
        <x:f>IF('Assumptions'!$G$6="Inputs valid",K28*'Assumptions'!$E$60*'Assumptions'!$E$65+K29*'Assumptions'!$E$75+K30*'Assumptions'!$E$70+K31,NA())</x:f>
        <x:v>864283.1779042158</x:v>
      </x:c>
      <x:c r="L32" s="68" t="n">
        <x:f>IF('Assumptions'!$G$6="Inputs valid",L28*'Assumptions'!$E$60*'Assumptions'!$E$65+L29*'Assumptions'!$E$75+L30*'Assumptions'!$E$70+L31,NA())</x:f>
        <x:v>167654.17594316875</x:v>
      </x:c>
      <x:c r="M32" s="68" t="n">
        <x:f>IF('Assumptions'!$G$6="Inputs valid",M28*'Assumptions'!$E$60*'Assumptions'!$E$65+M29*'Assumptions'!$E$75+M30*'Assumptions'!$E$70+M31,NA())</x:f>
        <x:v>171728.03975814042</x:v>
      </x:c>
      <x:c r="N32" s="68" t="n">
        <x:f>IF('Assumptions'!$G$6="Inputs valid",N28*'Assumptions'!$E$60*'Assumptions'!$E$65+N29*'Assumptions'!$E$75+N30*'Assumptions'!$E$70+N31,NA())</x:f>
        <x:v>175903.75016848644</x:v>
      </x:c>
    </x:row>
    <x:row r="33" ht="23" customHeight="1">
      <x:c r="A33" s="2"/>
      <x:c r="B33" s="2"/>
      <x:c r="C33" s="2"/>
      <x:c r="D33" s="2"/>
      <x:c r="E33" s="2"/>
      <x:c r="F33" s="2"/>
      <x:c r="G33" s="2"/>
      <x:c r="H33" s="2"/>
      <x:c r="I33" s="2"/>
      <x:c r="J33" s="2"/>
      <x:c r="K33" s="2"/>
      <x:c r="L33" s="2"/>
      <x:c r="M33" s="2"/>
      <x:c r="N33" s="2"/>
    </x:row>
    <x:row r="34" ht="23" customHeight="1">
      <x:c r="A34" s="2"/>
      <x:c r="B34" s="2"/>
      <x:c r="C34" s="2" t="str">
        <x:v>Base discount factor</x:v>
      </x:c>
      <x:c r="D34" s="52" t="n">
        <x:f>1/(1+'Assumptions'!$E$81)^((D$18-$D$18)/365)</x:f>
        <x:v>1</x:v>
      </x:c>
      <x:c r="E34" s="52" t="n">
        <x:f>1/(1+'Assumptions'!$E$81)^((E$18-$D$18)/365)</x:f>
        <x:v>0.9216589861751152</x:v>
      </x:c>
      <x:c r="F34" s="52" t="n">
        <x:f>1/(1+'Assumptions'!$E$81)^((F$18-$D$18)/365)</x:f>
        <x:v>0.8492654489686419</x:v>
      </x:c>
      <x:c r="G34" s="52" t="n">
        <x:f>1/(1+'Assumptions'!$E$81)^((G$18-$D$18)/365)</x:f>
        <x:v>0.7827331326899925</x:v>
      </x:c>
      <x:c r="H34" s="52" t="n">
        <x:f>1/(1+'Assumptions'!$E$81)^((H$18-$D$18)/365)</x:f>
        <x:v>0.7214130255207304</x:v>
      </x:c>
      <x:c r="I34" s="52" t="n">
        <x:f>1/(1+'Assumptions'!$E$81)^((I$18-$D$18)/365)</x:f>
        <x:v>0.6648967977149589</x:v>
      </x:c>
      <x:c r="J34" s="52" t="n">
        <x:f>1/(1+'Assumptions'!$E$81)^((J$18-$D$18)/365)</x:f>
        <x:v>0.6126711570106893</x:v>
      </x:c>
      <x:c r="K34" s="52" t="n">
        <x:f>1/(1+'Assumptions'!$E$81)^((K$18-$D$18)/365)</x:f>
        <x:v>0.5646738774292067</x:v>
      </x:c>
      <x:c r="L34" s="52" t="n">
        <x:f>1/(1+'Assumptions'!$E$81)^((L$18-$D$18)/365)</x:f>
        <x:v>0.520436753390974</x:v>
      </x:c>
      <x:c r="M34" s="52" t="n">
        <x:f>1/(1+'Assumptions'!$E$81)^((M$18-$D$18)/365)</x:f>
        <x:v>0.47966521049859356</x:v>
      </x:c>
      <x:c r="N34" s="52" t="n">
        <x:f>1/(1+'Assumptions'!$E$81)^((N$18-$D$18)/365)</x:f>
        <x:v>0.4419889530283678</x:v>
      </x:c>
    </x:row>
    <x:row r="35" ht="23" customHeight="1">
      <x:c r="A35" s="2"/>
      <x:c r="B35" s="2"/>
      <x:c r="C35" s="2" t="str">
        <x:v>Optimistic discount factor</x:v>
      </x:c>
      <x:c r="D35" s="52" t="n">
        <x:f>1/(1+'Assumptions'!$E$82)^((D$18-$D$18)/365)</x:f>
        <x:v>1</x:v>
      </x:c>
      <x:c r="E35" s="52" t="n">
        <x:f>1/(1+'Assumptions'!$E$82)^((E$18-$D$18)/365)</x:f>
        <x:v>0.9345794392523364</x:v>
      </x:c>
      <x:c r="F35" s="52" t="n">
        <x:f>1/(1+'Assumptions'!$E$82)^((F$18-$D$18)/365)</x:f>
        <x:v>0.8732768372949976</x:v>
      </x:c>
      <x:c r="G35" s="52" t="n">
        <x:f>1/(1+'Assumptions'!$E$82)^((G$18-$D$18)/365)</x:f>
        <x:v>0.8161465769112127</x:v>
      </x:c>
      <x:c r="H35" s="52" t="n">
        <x:f>1/(1+'Assumptions'!$E$82)^((H$18-$D$18)/365)</x:f>
        <x:v>0.7627538101973951</x:v>
      </x:c>
      <x:c r="I35" s="52" t="n">
        <x:f>1/(1+'Assumptions'!$E$82)^((I$18-$D$18)/365)</x:f>
        <x:v>0.7128540282218645</x:v>
      </x:c>
      <x:c r="J35" s="52" t="n">
        <x:f>1/(1+'Assumptions'!$E$82)^((J$18-$D$18)/365)</x:f>
        <x:v>0.66609523500389</x:v>
      </x:c>
      <x:c r="K35" s="52" t="n">
        <x:f>1/(1+'Assumptions'!$E$82)^((K$18-$D$18)/365)</x:f>
        <x:v>0.6225189112185888</x:v>
      </x:c>
      <x:c r="L35" s="52" t="n">
        <x:f>1/(1+'Assumptions'!$E$82)^((L$18-$D$18)/365)</x:f>
        <x:v>0.5817933749706437</x:v>
      </x:c>
      <x:c r="M35" s="52" t="n">
        <x:f>1/(1+'Assumptions'!$E$82)^((M$18-$D$18)/365)</x:f>
        <x:v>0.5437321261407885</x:v>
      </x:c>
      <x:c r="N35" s="52" t="n">
        <x:f>1/(1+'Assumptions'!$E$82)^((N$18-$D$18)/365)</x:f>
        <x:v>0.5080666784535464</x:v>
      </x:c>
    </x:row>
    <x:row r="36" ht="23" customHeight="1">
      <x:c r="A36" s="2"/>
      <x:c r="B36" s="2"/>
      <x:c r="C36" s="2" t="str">
        <x:v>Downside discount factor</x:v>
      </x:c>
      <x:c r="D36" s="52" t="n">
        <x:f>1/(1+'Assumptions'!$E$83)^((D$18-$D$18)/365)</x:f>
        <x:v>1</x:v>
      </x:c>
      <x:c r="E36" s="52" t="n">
        <x:f>1/(1+'Assumptions'!$E$83)^((E$18-$D$18)/365)</x:f>
        <x:v>0.9009009009009008</x:v>
      </x:c>
      <x:c r="F36" s="52" t="n">
        <x:f>1/(1+'Assumptions'!$E$83)^((F$18-$D$18)/365)</x:f>
        <x:v>0.8113904090742713</x:v>
      </x:c>
      <x:c r="G36" s="52" t="n">
        <x:f>1/(1+'Assumptions'!$E$83)^((G$18-$D$18)/365)</x:f>
        <x:v>0.7309823505173615</x:v>
      </x:c>
      <x:c r="H36" s="52" t="n">
        <x:f>1/(1+'Assumptions'!$E$83)^((H$18-$D$18)/365)</x:f>
        <x:v>0.658542658123749</x:v>
      </x:c>
      <x:c r="I36" s="52" t="n">
        <x:f>1/(1+'Assumptions'!$E$83)^((I$18-$D$18)/365)</x:f>
        <x:v>0.5932816739853594</x:v>
      </x:c>
      <x:c r="J36" s="52" t="n">
        <x:f>1/(1+'Assumptions'!$E$83)^((J$18-$D$18)/365)</x:f>
        <x:v>0.5343351967678867</x:v>
      </x:c>
      <x:c r="K36" s="52" t="n">
        <x:f>1/(1+'Assumptions'!$E$83)^((K$18-$D$18)/365)</x:f>
        <x:v>0.4813830601512492</x:v>
      </x:c>
      <x:c r="L36" s="52" t="n">
        <x:f>1/(1+'Assumptions'!$E$83)^((L$18-$D$18)/365)</x:f>
        <x:v>0.43367843256869293</x:v>
      </x:c>
      <x:c r="M36" s="52" t="n">
        <x:f>1/(1+'Assumptions'!$E$83)^((M$18-$D$18)/365)</x:f>
        <x:v>0.39070129060242603</x:v>
      </x:c>
      <x:c r="N36" s="52" t="n">
        <x:f>1/(1+'Assumptions'!$E$83)^((N$18-$D$18)/365)</x:f>
        <x:v>0.35188252080860055</x:v>
      </x:c>
    </x:row>
    <x:row r="37" ht="23" customHeight="1">
      <x:c r="A37" s="2"/>
      <x:c r="B37" s="2"/>
      <x:c r="C37" s="2"/>
      <x:c r="D37" s="2"/>
      <x:c r="E37" s="2"/>
      <x:c r="F37" s="2"/>
      <x:c r="G37" s="2"/>
      <x:c r="H37" s="2"/>
      <x:c r="I37" s="2"/>
      <x:c r="J37" s="2"/>
      <x:c r="K37" s="2"/>
      <x:c r="L37" s="2"/>
      <x:c r="M37" s="2"/>
      <x:c r="N37" s="2"/>
    </x:row>
    <x:row r="38" ht="23" customHeight="1">
      <x:c r="A38" s="2"/>
      <x:c r="B38" s="2"/>
      <x:c r="C38" s="2"/>
      <x:c r="D38" s="2"/>
      <x:c r="E38" s="2"/>
      <x:c r="F38" s="2"/>
      <x:c r="G38" s="2"/>
      <x:c r="H38" s="2"/>
      <x:c r="I38" s="2"/>
      <x:c r="J38" s="2"/>
      <x:c r="K38" s="2"/>
      <x:c r="L38" s="2"/>
      <x:c r="M38" s="2"/>
      <x:c r="N38" s="2"/>
    </x:row>
    <x:row r="39" ht="28" customHeight="1">
      <x:c r="A39" s="2"/>
      <x:c r="B39" s="2"/>
      <x:c r="C39" s="11" t="str">
        <x:v>C Partial: active present values</x:v>
      </x:c>
      <x:c r="D39" s="11" t="str">
        <x:v>Energy unit</x:v>
      </x:c>
      <x:c r="E39" s="11" t="str">
        <x:v>Maintenance unit</x:v>
      </x:c>
      <x:c r="F39" s="11" t="str">
        <x:v>Capital unit</x:v>
      </x:c>
      <x:c r="G39" s="11" t="str">
        <x:v>Fixed</x:v>
      </x:c>
      <x:c r="H39" s="2"/>
      <x:c r="I39" s="2"/>
      <x:c r="J39" s="2"/>
      <x:c r="K39" s="2"/>
      <x:c r="L39" s="2"/>
      <x:c r="M39" s="2"/>
      <x:c r="N39" s="2"/>
    </x:row>
    <x:row r="40" ht="23" customHeight="1">
      <x:c r="A40" s="2"/>
      <x:c r="B40" s="2"/>
      <x:c r="C40" s="2"/>
      <x:c r="D40" s="68" t="n">
        <x:f>IF('Assumptions'!$G$6="Inputs valid",SUMPRODUCT(D28:N28,'Cash Flow'!D78:N78),NA())</x:f>
        <x:v>2482519.731638099</x:v>
      </x:c>
      <x:c r="E40" s="68" t="n">
        <x:f>IF('Assumptions'!$G$6="Inputs valid",SUMPRODUCT(D29:N29,'Cash Flow'!D78:N78),NA())</x:f>
        <x:v>572488.8270024967</x:v>
      </x:c>
      <x:c r="F40" s="68" t="n">
        <x:f>IF('Assumptions'!$G$6="Inputs valid",SUMPRODUCT(D30:N30,'Cash Flow'!D78:N78),NA())</x:f>
        <x:v>-1585029.472550916</x:v>
      </x:c>
      <x:c r="G40" s="68" t="n">
        <x:f>IF('Assumptions'!$G$6="Inputs valid",SUMPRODUCT(D31:N31,'Cash Flow'!D78:N78),NA())</x:f>
        <x:v>584567.3388738479</x:v>
      </x:c>
      <x:c r="H40" s="2"/>
      <x:c r="I40" s="2"/>
      <x:c r="J40" s="2"/>
      <x:c r="K40" s="2"/>
      <x:c r="L40" s="2"/>
      <x:c r="M40" s="2"/>
      <x:c r="N40" s="2"/>
    </x:row>
    <x:row r="41" ht="23" customHeight="1">
      <x:c r="A41" s="2"/>
      <x:c r="B41" s="2"/>
      <x:c r="C41" s="2"/>
      <x:c r="D41" s="2"/>
      <x:c r="E41" s="2"/>
      <x:c r="F41" s="2"/>
      <x:c r="G41" s="2"/>
      <x:c r="H41" s="2"/>
      <x:c r="I41" s="2"/>
      <x:c r="J41" s="2"/>
      <x:c r="K41" s="2"/>
      <x:c r="L41" s="2"/>
      <x:c r="M41" s="2"/>
      <x:c r="N41" s="2"/>
    </x:row>
    <x:row r="42" ht="23" customHeight="1">
      <x:c r="A42" s="2"/>
      <x:c r="B42" s="2"/>
      <x:c r="C42" s="2"/>
      <x:c r="D42" s="2"/>
      <x:c r="E42" s="2"/>
      <x:c r="F42" s="2"/>
      <x:c r="G42" s="2"/>
      <x:c r="H42" s="2"/>
      <x:c r="I42" s="2"/>
      <x:c r="J42" s="2"/>
      <x:c r="K42" s="2"/>
      <x:c r="L42" s="2"/>
      <x:c r="M42" s="2"/>
      <x:c r="N42" s="2"/>
    </x:row>
    <x:row r="43" ht="28" customHeight="1">
      <x:c r="A43" s="2"/>
      <x:c r="B43" s="2"/>
      <x:c r="C43" s="11" t="str">
        <x:v>C Partial NPV: cost × energy price</x:v>
      </x:c>
      <x:c r="D43" s="53" t="n">
        <x:v>0.12</x:v>
      </x:c>
      <x:c r="E43" s="53" t="n">
        <x:v>0.16</x:v>
      </x:c>
      <x:c r="F43" s="53" t="n">
        <x:v>0.2</x:v>
      </x:c>
      <x:c r="G43" s="53" t="n">
        <x:v>0.24</x:v>
      </x:c>
      <x:c r="H43" s="53" t="n">
        <x:v>0.28</x:v>
      </x:c>
      <x:c r="I43" s="2"/>
      <x:c r="J43" s="2"/>
      <x:c r="K43" s="2"/>
      <x:c r="L43" s="2"/>
      <x:c r="M43" s="2"/>
      <x:c r="N43" s="2"/>
    </x:row>
    <x:row r="44" ht="23" customHeight="1">
      <x:c r="A44" s="2"/>
      <x:c r="B44" s="2"/>
      <x:c r="C44" s="24" t="n">
        <x:v>0.8</x:v>
      </x:c>
      <x:c r="D44" s="91" t="n">
        <x:f>IF(AND('Assumptions'!$G$6="Inputs valid",ISNUMBER(D$43),D$43&gt;=0,ISNUMBER($C44),$C44&gt;=0.01,$C44&lt;=100),$D$40*D$43*'Assumptions'!$E$65+$E$40*'Assumptions'!$E$75+$F$40*$C44+$G$40,"n.a.")</x:f>
        <x:v>186934.95563218347</x:v>
      </x:c>
      <x:c r="E44" s="91" t="n">
        <x:f>IF(AND('Assumptions'!$G$6="Inputs valid",ISNUMBER(E$43),E$43&gt;=0,ISNUMBER($C44),$C44&gt;=0.01,$C44&lt;=100),$D$40*E$43*'Assumptions'!$E$65+$E$40*'Assumptions'!$E$75+$F$40*$C44+$G$40,"n.a.")</x:f>
        <x:v>286235.74489770737</x:v>
      </x:c>
      <x:c r="F44" s="91" t="n">
        <x:f>IF(AND('Assumptions'!$G$6="Inputs valid",ISNUMBER(F$43),F$43&gt;=0,ISNUMBER($C44),$C44&gt;=0.01,$C44&lt;=100),$D$40*F$43*'Assumptions'!$E$65+$E$40*'Assumptions'!$E$75+$F$40*$C44+$G$40,"n.a.")</x:f>
        <x:v>385536.5341632315</x:v>
      </x:c>
      <x:c r="G44" s="91" t="n">
        <x:f>IF(AND('Assumptions'!$G$6="Inputs valid",ISNUMBER(G$43),G$43&gt;=0,ISNUMBER($C44),$C44&gt;=0.01,$C44&lt;=100),$D$40*G$43*'Assumptions'!$E$65+$E$40*'Assumptions'!$E$75+$F$40*$C44+$G$40,"n.a.")</x:f>
        <x:v>484837.32342875516</x:v>
      </x:c>
      <x:c r="H44" s="91" t="n">
        <x:f>IF(AND('Assumptions'!$G$6="Inputs valid",ISNUMBER(H$43),H$43&gt;=0,ISNUMBER($C44),$C44&gt;=0.01,$C44&lt;=100),$D$40*H$43*'Assumptions'!$E$65+$E$40*'Assumptions'!$E$75+$F$40*$C44+$G$40,"n.a.")</x:f>
        <x:v>584138.1126942793</x:v>
      </x:c>
      <x:c r="I44" s="2"/>
      <x:c r="J44" s="2"/>
      <x:c r="K44" s="2"/>
      <x:c r="L44" s="2"/>
      <x:c r="M44" s="2"/>
      <x:c r="N44" s="2"/>
    </x:row>
    <x:row r="45" ht="23" customHeight="1">
      <x:c r="A45" s="2"/>
      <x:c r="B45" s="2"/>
      <x:c r="C45" s="24" t="n">
        <x:v>1</x:v>
      </x:c>
      <x:c r="D45" s="91" t="n">
        <x:f>IF(AND('Assumptions'!$G$6="Inputs valid",ISNUMBER(D$43),D$43&gt;=0,ISNUMBER($C45),$C45&gt;=0.01,$C45&lt;=100),$D$40*D$43*'Assumptions'!$E$65+$E$40*'Assumptions'!$E$75+$F$40*$C45+$G$40,"n.a.")</x:f>
        <x:v>-130070.93887799955</x:v>
      </x:c>
      <x:c r="E45" s="91" t="n">
        <x:f>IF(AND('Assumptions'!$G$6="Inputs valid",ISNUMBER(E$43),E$43&gt;=0,ISNUMBER($C45),$C45&gt;=0.01,$C45&lt;=100),$D$40*E$43*'Assumptions'!$E$65+$E$40*'Assumptions'!$E$75+$F$40*$C45+$G$40,"n.a.")</x:f>
        <x:v>-30770.149612475652</x:v>
      </x:c>
      <x:c r="F45" s="91" t="n">
        <x:f>IF(AND('Assumptions'!$G$6="Inputs valid",ISNUMBER(F$43),F$43&gt;=0,ISNUMBER($C45),$C45&gt;=0.01,$C45&lt;=100),$D$40*F$43*'Assumptions'!$E$65+$E$40*'Assumptions'!$E$75+$F$40*$C45+$G$40,"n.a.")</x:f>
        <x:v>68530.63965304848</x:v>
      </x:c>
      <x:c r="G45" s="91" t="n">
        <x:f>IF(AND('Assumptions'!$G$6="Inputs valid",ISNUMBER(G$43),G$43&gt;=0,ISNUMBER($C45),$C45&gt;=0.01,$C45&lt;=100),$D$40*G$43*'Assumptions'!$E$65+$E$40*'Assumptions'!$E$75+$F$40*$C45+$G$40,"n.a.")</x:f>
        <x:v>167831.42891857214</x:v>
      </x:c>
      <x:c r="H45" s="91" t="n">
        <x:f>IF(AND('Assumptions'!$G$6="Inputs valid",ISNUMBER(H$43),H$43&gt;=0,ISNUMBER($C45),$C45&gt;=0.01,$C45&lt;=100),$D$40*H$43*'Assumptions'!$E$65+$E$40*'Assumptions'!$E$75+$F$40*$C45+$G$40,"n.a.")</x:f>
        <x:v>267132.2181840963</x:v>
      </x:c>
      <x:c r="I45" s="2"/>
      <x:c r="J45" s="2"/>
      <x:c r="K45" s="2"/>
      <x:c r="L45" s="2"/>
      <x:c r="M45" s="2"/>
      <x:c r="N45" s="2"/>
    </x:row>
    <x:row r="46" ht="23" customHeight="1">
      <x:c r="A46" s="2"/>
      <x:c r="B46" s="2"/>
      <x:c r="C46" s="24" t="n">
        <x:v>1.2000000000000002</x:v>
      </x:c>
      <x:c r="D46" s="91" t="n">
        <x:f>IF(AND('Assumptions'!$G$6="Inputs valid",ISNUMBER(D$43),D$43&gt;=0,ISNUMBER($C46),$C46&gt;=0.01,$C46&lt;=100),$D$40*D$43*'Assumptions'!$E$65+$E$40*'Assumptions'!$E$75+$F$40*$C46+$G$40,"n.a.")</x:f>
        <x:v>-447076.83338818303</x:v>
      </x:c>
      <x:c r="E46" s="91" t="n">
        <x:f>IF(AND('Assumptions'!$G$6="Inputs valid",ISNUMBER(E$43),E$43&gt;=0,ISNUMBER($C46),$C46&gt;=0.01,$C46&lt;=100),$D$40*E$43*'Assumptions'!$E$65+$E$40*'Assumptions'!$E$75+$F$40*$C46+$G$40,"n.a.")</x:f>
        <x:v>-347776.04412265914</x:v>
      </x:c>
      <x:c r="F46" s="91" t="n">
        <x:f>IF(AND('Assumptions'!$G$6="Inputs valid",ISNUMBER(F$43),F$43&gt;=0,ISNUMBER($C46),$C46&gt;=0.01,$C46&lt;=100),$D$40*F$43*'Assumptions'!$E$65+$E$40*'Assumptions'!$E$75+$F$40*$C46+$G$40,"n.a.")</x:f>
        <x:v>-248475.254857135</x:v>
      </x:c>
      <x:c r="G46" s="91" t="n">
        <x:f>IF(AND('Assumptions'!$G$6="Inputs valid",ISNUMBER(G$43),G$43&gt;=0,ISNUMBER($C46),$C46&gt;=0.01,$C46&lt;=100),$D$40*G$43*'Assumptions'!$E$65+$E$40*'Assumptions'!$E$75+$F$40*$C46+$G$40,"n.a.")</x:f>
        <x:v>-149174.46559161134</x:v>
      </x:c>
      <x:c r="H46" s="91" t="n">
        <x:f>IF(AND('Assumptions'!$G$6="Inputs valid",ISNUMBER(H$43),H$43&gt;=0,ISNUMBER($C46),$C46&gt;=0.01,$C46&lt;=100),$D$40*H$43*'Assumptions'!$E$65+$E$40*'Assumptions'!$E$75+$F$40*$C46+$G$40,"n.a.")</x:f>
        <x:v>-49873.67632608721</x:v>
      </x:c>
      <x:c r="I46" s="2"/>
      <x:c r="J46" s="2"/>
      <x:c r="K46" s="2"/>
      <x:c r="L46" s="2"/>
      <x:c r="M46" s="2"/>
      <x:c r="N46" s="2"/>
    </x:row>
    <x:row r="47" ht="23" customHeight="1">
      <x:c r="A47" s="2"/>
      <x:c r="B47" s="2"/>
      <x:c r="C47" s="24" t="n">
        <x:v>1.4000000000000001</x:v>
      </x:c>
      <x:c r="D47" s="91" t="n">
        <x:f>IF(AND('Assumptions'!$G$6="Inputs valid",ISNUMBER(D$43),D$43&gt;=0,ISNUMBER($C47),$C47&gt;=0.01,$C47&lt;=100),$D$40*D$43*'Assumptions'!$E$65+$E$40*'Assumptions'!$E$75+$F$40*$C47+$G$40,"n.a.")</x:f>
        <x:v>-764082.727898366</x:v>
      </x:c>
      <x:c r="E47" s="91" t="n">
        <x:f>IF(AND('Assumptions'!$G$6="Inputs valid",ISNUMBER(E$43),E$43&gt;=0,ISNUMBER($C47),$C47&gt;=0.01,$C47&lt;=100),$D$40*E$43*'Assumptions'!$E$65+$E$40*'Assumptions'!$E$75+$F$40*$C47+$G$40,"n.a.")</x:f>
        <x:v>-664781.9386328422</x:v>
      </x:c>
      <x:c r="F47" s="91" t="n">
        <x:f>IF(AND('Assumptions'!$G$6="Inputs valid",ISNUMBER(F$43),F$43&gt;=0,ISNUMBER($C47),$C47&gt;=0.01,$C47&lt;=100),$D$40*F$43*'Assumptions'!$E$65+$E$40*'Assumptions'!$E$75+$F$40*$C47+$G$40,"n.a.")</x:f>
        <x:v>-565481.149367318</x:v>
      </x:c>
      <x:c r="G47" s="91" t="n">
        <x:f>IF(AND('Assumptions'!$G$6="Inputs valid",ISNUMBER(G$43),G$43&gt;=0,ISNUMBER($C47),$C47&gt;=0.01,$C47&lt;=100),$D$40*G$43*'Assumptions'!$E$65+$E$40*'Assumptions'!$E$75+$F$40*$C47+$G$40,"n.a.")</x:f>
        <x:v>-466180.36010179436</x:v>
      </x:c>
      <x:c r="H47" s="91" t="n">
        <x:f>IF(AND('Assumptions'!$G$6="Inputs valid",ISNUMBER(H$43),H$43&gt;=0,ISNUMBER($C47),$C47&gt;=0.01,$C47&lt;=100),$D$40*H$43*'Assumptions'!$E$65+$E$40*'Assumptions'!$E$75+$F$40*$C47+$G$40,"n.a.")</x:f>
        <x:v>-366879.5708362702</x:v>
      </x:c>
      <x:c r="I47" s="2"/>
      <x:c r="J47" s="2"/>
      <x:c r="K47" s="2"/>
      <x:c r="L47" s="2"/>
      <x:c r="M47" s="2"/>
      <x:c r="N47" s="2"/>
    </x:row>
    <x:row r="48" ht="23" customHeight="1">
      <x:c r="A48" s="2"/>
      <x:c r="B48" s="2"/>
      <x:c r="C48" s="24" t="n">
        <x:v>1.6</x:v>
      </x:c>
      <x:c r="D48" s="91" t="n">
        <x:f>IF(AND('Assumptions'!$G$6="Inputs valid",ISNUMBER(D$43),D$43&gt;=0,ISNUMBER($C48),$C48&gt;=0.01,$C48&lt;=100),$D$40*D$43*'Assumptions'!$E$65+$E$40*'Assumptions'!$E$75+$F$40*$C48+$G$40,"n.a.")</x:f>
        <x:v>-1081088.6224085495</x:v>
      </x:c>
      <x:c r="E48" s="91" t="n">
        <x:f>IF(AND('Assumptions'!$G$6="Inputs valid",ISNUMBER(E$43),E$43&gt;=0,ISNUMBER($C48),$C48&gt;=0.01,$C48&lt;=100),$D$40*E$43*'Assumptions'!$E$65+$E$40*'Assumptions'!$E$75+$F$40*$C48+$G$40,"n.a.")</x:f>
        <x:v>-981787.8331430256</x:v>
      </x:c>
      <x:c r="F48" s="91" t="n">
        <x:f>IF(AND('Assumptions'!$G$6="Inputs valid",ISNUMBER(F$43),F$43&gt;=0,ISNUMBER($C48),$C48&gt;=0.01,$C48&lt;=100),$D$40*F$43*'Assumptions'!$E$65+$E$40*'Assumptions'!$E$75+$F$40*$C48+$G$40,"n.a.")</x:f>
        <x:v>-882487.0438775015</x:v>
      </x:c>
      <x:c r="G48" s="91" t="n">
        <x:f>IF(AND('Assumptions'!$G$6="Inputs valid",ISNUMBER(G$43),G$43&gt;=0,ISNUMBER($C48),$C48&gt;=0.01,$C48&lt;=100),$D$40*G$43*'Assumptions'!$E$65+$E$40*'Assumptions'!$E$75+$F$40*$C48+$G$40,"n.a.")</x:f>
        <x:v>-783186.2546119778</x:v>
      </x:c>
      <x:c r="H48" s="91" t="n">
        <x:f>IF(AND('Assumptions'!$G$6="Inputs valid",ISNUMBER(H$43),H$43&gt;=0,ISNUMBER($C48),$C48&gt;=0.01,$C48&lt;=100),$D$40*H$43*'Assumptions'!$E$65+$E$40*'Assumptions'!$E$75+$F$40*$C48+$G$40,"n.a.")</x:f>
        <x:v>-683885.4653464537</x:v>
      </x:c>
      <x:c r="I48" s="2"/>
      <x:c r="J48" s="2"/>
      <x:c r="K48" s="2"/>
      <x:c r="L48" s="2"/>
      <x:c r="M48" s="2"/>
      <x:c r="N48" s="2"/>
    </x:row>
    <x:row r="49" ht="23" customHeight="1">
      <x:c r="A49" s="2"/>
      <x:c r="B49" s="2"/>
      <x:c r="C49" s="2"/>
      <x:c r="D49" s="2"/>
      <x:c r="E49" s="2"/>
      <x:c r="F49" s="2"/>
      <x:c r="G49" s="2"/>
      <x:c r="H49" s="2"/>
      <x:c r="I49" s="2"/>
      <x:c r="J49" s="2"/>
      <x:c r="K49" s="2"/>
      <x:c r="L49" s="2"/>
      <x:c r="M49" s="2"/>
      <x:c r="N49" s="2"/>
    </x:row>
    <x:row r="50" ht="23" customHeight="1">
      <x:c r="A50" s="2"/>
      <x:c r="B50" s="2"/>
      <x:c r="C50" s="2"/>
      <x:c r="D50" s="2"/>
      <x:c r="E50" s="2"/>
      <x:c r="F50" s="2"/>
      <x:c r="G50" s="2"/>
      <x:c r="H50" s="2"/>
      <x:c r="I50" s="2"/>
      <x:c r="J50" s="2"/>
      <x:c r="K50" s="2"/>
      <x:c r="L50" s="2"/>
      <x:c r="M50" s="2"/>
      <x:c r="N50" s="2"/>
    </x:row>
    <x:row r="51" ht="23" customHeight="1">
      <x:c r="A51" s="2"/>
      <x:c r="B51" s="2"/>
      <x:c r="C51" s="2" t="str">
        <x:v>C break-even energy price ($/kWh)</x:v>
      </x:c>
      <x:c r="D51" s="2"/>
      <x:c r="E51" s="70" t="n">
        <x:f>IF('Assumptions'!$G$6="Inputs valid",IF(D40*'Assumptions'!E65=0,"n.a.",-(E40*'Assumptions'!E75+F40*'Assumptions'!E70+G40)/(D40*'Assumptions'!E65)),"n.a.")</x:f>
        <x:v>0.17239472509335177</x:v>
      </x:c>
      <x:c r="F51" s="2"/>
      <x:c r="G51" s="2"/>
      <x:c r="H51" s="2"/>
      <x:c r="I51" s="2"/>
      <x:c r="J51" s="2"/>
      <x:c r="K51" s="2"/>
      <x:c r="L51" s="2"/>
      <x:c r="M51" s="2"/>
      <x:c r="N51" s="2"/>
    </x:row>
    <x:row r="52" ht="23" customHeight="1">
      <x:c r="A52" s="2"/>
      <x:c r="B52" s="2"/>
      <x:c r="C52" s="2" t="str">
        <x:v>C break-even initial funding</x:v>
      </x:c>
      <x:c r="D52" s="2"/>
      <x:c r="E52" s="68" t="n">
        <x:f>IF(AND('Assumptions'!$G$6="Inputs valid",ISNUMBER(F40),F40&lt;&gt;0),-(D40*'Assumptions'!E60*'Assumptions'!E65+E40*'Assumptions'!E75+G40)/F40*'CapEx'!I25,"n.a.")</x:f>
        <x:v>1741161.2055559198</x:v>
      </x:c>
      <x:c r="F52" s="2"/>
      <x:c r="G52" s="2"/>
      <x:c r="H52" s="2"/>
      <x:c r="I52" s="2"/>
      <x:c r="J52" s="2"/>
      <x:c r="K52" s="2"/>
      <x:c r="L52" s="2"/>
      <x:c r="M52" s="2"/>
      <x:c r="N52" s="2"/>
    </x:row>
    <x:row r="53" ht="23" customHeight="1">
      <x:c r="A53" s="2"/>
      <x:c r="B53" s="2"/>
      <x:c r="C53" s="2" t="str">
        <x:v>B year 10 net value needed for NPV = 0</x:v>
      </x:c>
      <x:c r="D53" s="2"/>
      <x:c r="E53" s="68" t="n">
        <x:f>IF('Assumptions'!$G$6="Inputs valid",MAX(0,-'Cash Flow'!E89/'Cash Flow'!N56),"n.a.")</x:f>
        <x:v>3969828.753788352</x:v>
      </x:c>
      <x:c r="F53" s="2"/>
      <x:c r="G53" s="2"/>
      <x:c r="H53" s="2"/>
      <x:c r="I53" s="2"/>
      <x:c r="J53" s="2"/>
      <x:c r="K53" s="2"/>
      <x:c r="L53" s="2"/>
      <x:c r="M53" s="2"/>
      <x:c r="N53" s="2"/>
    </x:row>
    <x:row r="54" ht="23" customHeight="1">
      <x:c r="A54" s="2"/>
      <x:c r="B54" s="2"/>
      <x:c r="C54" s="2"/>
      <x:c r="D54" s="2"/>
      <x:c r="E54" s="2"/>
      <x:c r="F54" s="2"/>
      <x:c r="G54" s="2"/>
      <x:c r="H54" s="2"/>
      <x:c r="I54" s="2"/>
      <x:c r="J54" s="2"/>
      <x:c r="K54" s="2"/>
      <x:c r="L54" s="2"/>
      <x:c r="M54" s="2"/>
      <x:c r="N54" s="2"/>
    </x:row>
    <x:row r="55" ht="23" customHeight="1">
      <x:c r="A55" s="2"/>
      <x:c r="B55" s="2"/>
      <x:c r="C55" s="2"/>
      <x:c r="D55" s="2"/>
      <x:c r="E55" s="2"/>
      <x:c r="F55" s="2"/>
      <x:c r="G55" s="2"/>
      <x:c r="H55" s="2"/>
      <x:c r="I55" s="2"/>
      <x:c r="J55" s="2"/>
      <x:c r="K55" s="2"/>
      <x:c r="L55" s="2"/>
      <x:c r="M55" s="2"/>
      <x:c r="N55" s="2"/>
    </x:row>
    <x:row r="56" ht="23" customHeight="1">
      <x:c r="A56" s="2"/>
      <x:c r="B56" s="2"/>
      <x:c r="C56" s="5" t="str">
        <x:v>n.a. means invalid input or unavailable result. See Assumptions input checks and I8:I10.</x:v>
      </x:c>
      <x:c r="D56" s="2"/>
      <x:c r="E56" s="2"/>
      <x:c r="F56" s="2"/>
      <x:c r="G56" s="2"/>
      <x:c r="H56" s="2"/>
      <x:c r="I56" s="2"/>
      <x:c r="J56" s="2"/>
      <x:c r="K56" s="2"/>
      <x:c r="L56" s="2"/>
      <x:c r="M56" s="2"/>
      <x:c r="N56" s="2"/>
    </x:row>
    <x:row r="57" ht="23" customHeight="1">
      <x:c r="A57" s="2"/>
      <x:c r="B57" s="2"/>
      <x:c r="C57" s="5" t="str">
        <x:v>The year 10 value requirement is a threshold, not an appraisal or assumed terminal receipt.</x:v>
      </x:c>
      <x:c r="D57" s="2"/>
      <x:c r="E57" s="2"/>
      <x:c r="F57" s="2"/>
      <x:c r="G57" s="2"/>
      <x:c r="H57" s="2"/>
      <x:c r="I57" s="2"/>
      <x:c r="J57" s="2"/>
      <x:c r="K57" s="2"/>
      <x:c r="L57" s="2"/>
      <x:c r="M57" s="2"/>
      <x:c r="N57" s="2"/>
    </x:row>
    <x:row r="58" ht="23" customHeight="1">
      <x:c r="A58" s="2"/>
      <x:c r="B58" s="2"/>
      <x:c r="C58" s="2"/>
      <x:c r="D58" s="2"/>
      <x:c r="E58" s="2"/>
      <x:c r="F58" s="2"/>
      <x:c r="G58" s="2"/>
      <x:c r="H58" s="2"/>
      <x:c r="I58" s="2"/>
      <x:c r="J58" s="2"/>
      <x:c r="K58" s="2"/>
      <x:c r="L58" s="2"/>
      <x:c r="M58" s="2"/>
      <x:c r="N58" s="2"/>
    </x:row>
    <x:row r="59" ht="23" customHeight="1">
      <x:c r="A59" s="2"/>
      <x:c r="B59" s="2"/>
      <x:c r="C59" s="2"/>
      <x:c r="D59" s="2"/>
      <x:c r="E59" s="2"/>
      <x:c r="F59" s="2"/>
      <x:c r="G59" s="2"/>
      <x:c r="H59" s="2"/>
      <x:c r="I59" s="2"/>
      <x:c r="J59" s="2"/>
      <x:c r="K59" s="2"/>
      <x:c r="L59" s="2"/>
      <x:c r="M59" s="2"/>
      <x:c r="N59" s="2"/>
    </x:row>
    <x:row r="60" ht="28" customHeight="1">
      <x:c r="A60" s="2"/>
      <x:c r="B60" s="2"/>
      <x:c r="C60" s="11" t="str">
        <x:v>One-variable test</x:v>
      </x:c>
      <x:c r="D60" s="11" t="str">
        <x:v>Low input</x:v>
      </x:c>
      <x:c r="E60" s="11" t="str">
        <x:v>High input</x:v>
      </x:c>
      <x:c r="F60" s="11" t="str">
        <x:v>B low NPV</x:v>
      </x:c>
      <x:c r="G60" s="11" t="str">
        <x:v>B high NPV</x:v>
      </x:c>
      <x:c r="H60" s="11" t="str">
        <x:v>C low NPV</x:v>
      </x:c>
      <x:c r="I60" s="11" t="str">
        <x:v>C high NPV</x:v>
      </x:c>
      <x:c r="J60" s="2"/>
      <x:c r="K60" s="2"/>
      <x:c r="L60" s="2"/>
      <x:c r="M60" s="2"/>
      <x:c r="N60" s="2"/>
    </x:row>
    <x:row r="61" ht="23" customHeight="1">
      <x:c r="A61" s="2"/>
      <x:c r="B61" s="2"/>
      <x:c r="C61" s="2" t="str">
        <x:v>Electricity price</x:v>
      </x:c>
      <x:c r="D61" s="22" t="n">
        <x:v>0.15</x:v>
      </x:c>
      <x:c r="E61" s="22" t="n">
        <x:v>0.25</x:v>
      </x:c>
      <x:c r="F61" s="91" t="n">
        <x:f>IF(IFERROR(AND('Assumptions'!$G$6="Inputs valid",AND(ISNUMBER($D61),$D61&gt;=0)),FALSE),XNPV('Assumptions'!$E$80,D21:N21,$D$18:$N$18)*$D61*'Assumptions'!$E$65+XNPV('Assumptions'!$E$80,D22:N22,$D$18:$N$18)*'Assumptions'!$E$75+XNPV('Assumptions'!$E$80,D23:N23,$D$18:$N$18)*'Assumptions'!$E$70+XNPV('Assumptions'!$E$80,D24:N24,$D$18:$N$18),"n.a.")</x:f>
        <x:v>-2053147.3556512163</x:v>
      </x:c>
      <x:c r="G61" s="91" t="n">
        <x:f>IF(IFERROR(AND('Assumptions'!$G$6="Inputs valid",AND(ISNUMBER($E61),$E61&gt;=0)),FALSE),XNPV('Assumptions'!$E$80,D21:N21,$D$18:$N$18)*$E61*'Assumptions'!$E$65+XNPV('Assumptions'!$E$80,D22:N22,$D$18:$N$18)*'Assumptions'!$E$75+XNPV('Assumptions'!$E$80,D23:N23,$D$18:$N$18)*'Assumptions'!$E$70+XNPV('Assumptions'!$E$80,D24:N24,$D$18:$N$18),"n.a.")</x:f>
        <x:v>-1456093.5535264306</x:v>
      </x:c>
      <x:c r="H61" s="91" t="n">
        <x:f>IF(IFERROR(AND('Assumptions'!$G$6="Inputs valid",AND(ISNUMBER($D61),$D61&gt;=0)),FALSE),XNPV('Assumptions'!$E$80,D28:N28,$D$18:$N$18)*$D61*'Assumptions'!$E$65+XNPV('Assumptions'!$E$80,D29:N29,$D$18:$N$18)*'Assumptions'!$E$75+XNPV('Assumptions'!$E$80,D30:N30,$D$18:$N$18)*'Assumptions'!$E$70+XNPV('Assumptions'!$E$80,D31:N31,$D$18:$N$18),"n.a.")</x:f>
        <x:v>-55595.3469288568</x:v>
      </x:c>
      <x:c r="I61" s="91" t="n">
        <x:f>IF(IFERROR(AND('Assumptions'!$G$6="Inputs valid",AND(ISNUMBER($E61),$E61&gt;=0)),FALSE),XNPV('Assumptions'!$E$80,D28:N28,$D$18:$N$18)*$E61*'Assumptions'!$E$65+XNPV('Assumptions'!$E$80,D29:N29,$D$18:$N$18)*'Assumptions'!$E$75+XNPV('Assumptions'!$E$80,D30:N30,$D$18:$N$18)*'Assumptions'!$E$70+XNPV('Assumptions'!$E$80,D31:N31,$D$18:$N$18),"n.a.")</x:f>
        <x:v>192656.62623495306</x:v>
      </x:c>
      <x:c r="J61" s="2"/>
      <x:c r="K61" s="2"/>
      <x:c r="L61" s="2"/>
      <x:c r="M61" s="2"/>
      <x:c r="N61" s="2"/>
    </x:row>
    <x:row r="62" ht="23" customHeight="1">
      <x:c r="A62" s="2"/>
      <x:c r="B62" s="2"/>
      <x:c r="C62" s="2" t="str">
        <x:v>Energy realization</x:v>
      </x:c>
      <x:c r="D62" s="24" t="n">
        <x:v>0.7</x:v>
      </x:c>
      <x:c r="E62" s="24" t="n">
        <x:v>1.15</x:v>
      </x:c>
      <x:c r="F62" s="91" t="n">
        <x:f>IF(IFERROR(AND('Assumptions'!$G$6="Inputs valid",AND(ISNUMBER($D62),$D62&gt;=0,'Energy'!$F$18-MAX('Energy'!$G$19:$H$19)*$D62&gt;=0)),FALSE),XNPV('Assumptions'!$E$80,D21:N21,$D$18:$N$18)*'Assumptions'!$E$60*$D62+XNPV('Assumptions'!$E$80,D22:N22,$D$18:$N$18)*'Assumptions'!$E$75+XNPV('Assumptions'!$E$80,D23:N23,$D$18:$N$18)*'Assumptions'!$E$70+XNPV('Assumptions'!$E$80,D24:N24,$D$18:$N$18),"n.a.")</x:f>
        <x:v>-2112852.735863695</x:v>
      </x:c>
      <x:c r="G62" s="91" t="n">
        <x:f>IF(IFERROR(AND('Assumptions'!$G$6="Inputs valid",AND(ISNUMBER($E62),$E62&gt;=0,'Energy'!$F$18-MAX('Energy'!$G$19:$H$19)*$E62&gt;=0)),FALSE),XNPV('Assumptions'!$E$80,D21:N21,$D$18:$N$18)*'Assumptions'!$E$60*$E62+XNPV('Assumptions'!$E$80,D22:N22,$D$18:$N$18)*'Assumptions'!$E$75+XNPV('Assumptions'!$E$80,D23:N23,$D$18:$N$18)*'Assumptions'!$E$70+XNPV('Assumptions'!$E$80,D24:N24,$D$18:$N$18),"n.a.")</x:f>
        <x:v>-1575504.3139513878</x:v>
      </x:c>
      <x:c r="H62" s="91" t="n">
        <x:f>IF(IFERROR(AND('Assumptions'!$G$6="Inputs valid",AND(ISNUMBER($D62),$D62&gt;=0,'Energy'!$F$18-MAX('Energy'!$G$19:$H$19)*$D62&gt;=0)),FALSE),XNPV('Assumptions'!$E$80,D28:N28,$D$18:$N$18)*'Assumptions'!$E$60*$D62+XNPV('Assumptions'!$E$80,D29:N29,$D$18:$N$18)*'Assumptions'!$E$75+XNPV('Assumptions'!$E$80,D30:N30,$D$18:$N$18)*'Assumptions'!$E$70+XNPV('Assumptions'!$E$80,D31:N31,$D$18:$N$18),"n.a.")</x:f>
        <x:v>-80420.54424523783</x:v>
      </x:c>
      <x:c r="I62" s="91" t="n">
        <x:f>IF(IFERROR(AND('Assumptions'!$G$6="Inputs valid",AND(ISNUMBER($E62),$E62&gt;=0,'Energy'!$F$18-MAX('Energy'!$G$19:$H$19)*$E62&gt;=0)),FALSE),XNPV('Assumptions'!$E$80,D28:N28,$D$18:$N$18)*'Assumptions'!$E$60*$E62+XNPV('Assumptions'!$E$80,D29:N29,$D$18:$N$18)*'Assumptions'!$E$75+XNPV('Assumptions'!$E$80,D30:N30,$D$18:$N$18)*'Assumptions'!$E$70+XNPV('Assumptions'!$E$80,D31:N31,$D$18:$N$18),"n.a.")</x:f>
        <x:v>143006.23160219123</x:v>
      </x:c>
      <x:c r="J62" s="2"/>
      <x:c r="K62" s="2"/>
      <x:c r="L62" s="2"/>
      <x:c r="M62" s="2"/>
      <x:c r="N62" s="2"/>
    </x:row>
    <x:row r="63" ht="23" customHeight="1">
      <x:c r="A63" s="2"/>
      <x:c r="B63" s="2"/>
      <x:c r="C63" s="2" t="str">
        <x:v>Initial capital multiplier</x:v>
      </x:c>
      <x:c r="D63" s="24" t="n">
        <x:v>0.9</x:v>
      </x:c>
      <x:c r="E63" s="24" t="n">
        <x:v>1.2</x:v>
      </x:c>
      <x:c r="F63" s="91" t="n">
        <x:f>IF(IFERROR(AND('Assumptions'!$G$6="Inputs valid",AND(ISNUMBER($D63),$D63&gt;=0.01,$D63&lt;=100)),FALSE),XNPV('Assumptions'!$E$80,D21:N21,$D$18:$N$18)*'Assumptions'!$E$60*'Assumptions'!$E$65+XNPV('Assumptions'!$E$80,D22:N22,$D$18:$N$18)*'Assumptions'!$E$75+XNPV('Assumptions'!$E$80,D23:N23,$D$18:$N$18)*$D63+XNPV('Assumptions'!$E$80,D24:N24,$D$18:$N$18),"n.a.")</x:f>
        <x:v>-1279001.2117692216</x:v>
      </x:c>
      <x:c r="G63" s="91" t="n">
        <x:f>IF(IFERROR(AND('Assumptions'!$G$6="Inputs valid",AND(ISNUMBER($E63),$E63&gt;=0.01,$E63&lt;=100)),FALSE),XNPV('Assumptions'!$E$80,D21:N21,$D$18:$N$18)*'Assumptions'!$E$60*'Assumptions'!$E$65+XNPV('Assumptions'!$E$80,D22:N22,$D$18:$N$18)*'Assumptions'!$E$75+XNPV('Assumptions'!$E$80,D23:N23,$D$18:$N$18)*$E63+XNPV('Assumptions'!$E$80,D24:N24,$D$18:$N$18),"n.a.")</x:f>
        <x:v>-2705858.9402280273</x:v>
      </x:c>
      <x:c r="H63" s="91" t="n">
        <x:f>IF(IFERROR(AND('Assumptions'!$G$6="Inputs valid",AND(ISNUMBER($D63),$D63&gt;=0.01,$D63&lt;=100)),FALSE),XNPV('Assumptions'!$E$80,D28:N28,$D$18:$N$18)*'Assumptions'!$E$60*'Assumptions'!$E$65+XNPV('Assumptions'!$E$80,D29:N29,$D$18:$N$18)*'Assumptions'!$E$75+XNPV('Assumptions'!$E$80,D30:N30,$D$18:$N$18)*$D63+XNPV('Assumptions'!$E$80,D31:N31,$D$18:$N$18),"n.a.")</x:f>
        <x:v>227033.58690813975</x:v>
      </x:c>
      <x:c r="I63" s="91" t="n">
        <x:f>IF(IFERROR(AND('Assumptions'!$G$6="Inputs valid",AND(ISNUMBER($E63),$E63&gt;=0.01,$E63&lt;=100)),FALSE),XNPV('Assumptions'!$E$80,D28:N28,$D$18:$N$18)*'Assumptions'!$E$60*'Assumptions'!$E$65+XNPV('Assumptions'!$E$80,D29:N29,$D$18:$N$18)*'Assumptions'!$E$75+XNPV('Assumptions'!$E$80,D30:N30,$D$18:$N$18)*$E63+XNPV('Assumptions'!$E$80,D31:N31,$D$18:$N$18),"n.a.")</x:f>
        <x:v>-248475.254857135</x:v>
      </x:c>
      <x:c r="J63" s="2"/>
      <x:c r="K63" s="2"/>
      <x:c r="L63" s="2"/>
      <x:c r="M63" s="2"/>
      <x:c r="N63" s="2"/>
    </x:row>
    <x:row r="64" ht="23" customHeight="1">
      <x:c r="A64" s="2"/>
      <x:c r="B64" s="2"/>
      <x:c r="C64" s="2" t="str">
        <x:v>Maintenance realization</x:v>
      </x:c>
      <x:c r="D64" s="24" t="n">
        <x:v>0.6</x:v>
      </x:c>
      <x:c r="E64" s="24" t="n">
        <x:v>1.2</x:v>
      </x:c>
      <x:c r="F64" s="91" t="n">
        <x:f>IF(IFERROR(AND('Assumptions'!$G$6="Inputs valid",AND(ISNUMBER($D64),$D64&gt;=0,SUM('Assumptions'!$E$47:$E$48)-MAX(SUM('Assumptions'!$E$47:$E$48)-SUM('Assumptions'!$F$47:$F$48),SUM('Assumptions'!$E$47:$E$48)-SUM('Assumptions'!$G$47:$G$48))*$D64&gt;=0)),FALSE),XNPV('Assumptions'!$E$80,D21:N21,$D$18:$N$18)*'Assumptions'!$E$60*'Assumptions'!$E$65+XNPV('Assumptions'!$E$80,D22:N22,$D$18:$N$18)*$D64+XNPV('Assumptions'!$E$80,D23:N23,$D$18:$N$18)*'Assumptions'!$E$70+XNPV('Assumptions'!$E$80,D24:N24,$D$18:$N$18),"n.a.")</x:f>
        <x:v>-2160567.077372412</x:v>
      </x:c>
      <x:c r="G64" s="91" t="n">
        <x:f>IF(IFERROR(AND('Assumptions'!$G$6="Inputs valid",AND(ISNUMBER($E64),$E64&gt;=0,SUM('Assumptions'!$E$47:$E$48)-MAX(SUM('Assumptions'!$E$47:$E$48)-SUM('Assumptions'!$F$47:$F$48),SUM('Assumptions'!$E$47:$E$48)-SUM('Assumptions'!$G$47:$G$48))*$E64&gt;=0)),FALSE),XNPV('Assumptions'!$E$80,D21:N21,$D$18:$N$18)*'Assumptions'!$E$60*'Assumptions'!$E$65+XNPV('Assumptions'!$E$80,D22:N22,$D$18:$N$18)*$E64+XNPV('Assumptions'!$E$80,D23:N23,$D$18:$N$18)*'Assumptions'!$E$70+XNPV('Assumptions'!$E$80,D24:N24,$D$18:$N$18),"n.a.")</x:f>
        <x:v>-1551647.1431970291</x:v>
      </x:c>
      <x:c r="H64" s="91" t="n">
        <x:f>IF(IFERROR(AND('Assumptions'!$G$6="Inputs valid",AND(ISNUMBER($D64),$D64&gt;=0,SUM('Assumptions'!$E$47:$E$48)-MAX(SUM('Assumptions'!$E$47:$E$48)-SUM('Assumptions'!$F$47:$F$48),SUM('Assumptions'!$E$47:$E$48)-SUM('Assumptions'!$G$47:$G$48))*$D64&gt;=0)),FALSE),XNPV('Assumptions'!$E$80,D28:N28,$D$18:$N$18)*'Assumptions'!$E$60*'Assumptions'!$E$65+XNPV('Assumptions'!$E$80,D29:N29,$D$18:$N$18)*$D64+XNPV('Assumptions'!$E$80,D30:N30,$D$18:$N$18)*'Assumptions'!$E$70+XNPV('Assumptions'!$E$80,D31:N31,$D$18:$N$18),"n.a.")</x:f>
        <x:v>-160464.89114795055</x:v>
      </x:c>
      <x:c r="I64" s="91" t="n">
        <x:f>IF(IFERROR(AND('Assumptions'!$G$6="Inputs valid",AND(ISNUMBER($E64),$E64&gt;=0,SUM('Assumptions'!$E$47:$E$48)-MAX(SUM('Assumptions'!$E$47:$E$48)-SUM('Assumptions'!$F$47:$F$48),SUM('Assumptions'!$E$47:$E$48)-SUM('Assumptions'!$G$47:$G$48))*$E64&gt;=0)),FALSE),XNPV('Assumptions'!$E$80,D28:N28,$D$18:$N$18)*'Assumptions'!$E$60*'Assumptions'!$E$65+XNPV('Assumptions'!$E$80,D29:N29,$D$18:$N$18)*$E64+XNPV('Assumptions'!$E$80,D30:N30,$D$18:$N$18)*'Assumptions'!$E$70+XNPV('Assumptions'!$E$80,D31:N31,$D$18:$N$18),"n.a.")</x:f>
        <x:v>183028.40505354735</x:v>
      </x:c>
      <x:c r="J64" s="2"/>
      <x:c r="K64" s="2"/>
      <x:c r="L64" s="2"/>
      <x:c r="M64" s="2"/>
      <x:c r="N64" s="2"/>
    </x:row>
    <x:row r="65" ht="23" customHeight="1">
      <x:c r="A65" s="2"/>
      <x:c r="B65" s="2"/>
      <x:c r="C65" s="2" t="str">
        <x:v>Discount rate</x:v>
      </x:c>
      <x:c r="D65" s="13" t="n">
        <x:v>0.06</x:v>
      </x:c>
      <x:c r="E65" s="13" t="n">
        <x:v>0.12</x:v>
      </x:c>
      <x:c r="F65" s="91" t="n">
        <x:f>IF(IFERROR(AND('Assumptions'!$G$6="Inputs valid",AND(ISNUMBER($D65),$D65&gt;=0,$D65&lt;=1)),FALSE),XNPV($D65,D21:N21,$D$18:$N$18)*'Assumptions'!$E$60*'Assumptions'!$E$65+XNPV($D65,D22:N22,$D$18:$N$18)*'Assumptions'!$E$75+XNPV($D65,D23:N23,$D$18:$N$18)*'Assumptions'!$E$70+XNPV($D65,D24:N24,$D$18:$N$18),"n.a.")</x:f>
        <x:v>-1366990.219858413</x:v>
      </x:c>
      <x:c r="G65" s="91" t="n">
        <x:f>IF(IFERROR(AND('Assumptions'!$G$6="Inputs valid",AND(ISNUMBER($E65),$E65&gt;=0,$E65&lt;=1)),FALSE),XNPV($E65,D21:N21,$D$18:$N$18)*'Assumptions'!$E$60*'Assumptions'!$E$65+XNPV($E65,D22:N22,$D$18:$N$18)*'Assumptions'!$E$75+XNPV($E65,D23:N23,$D$18:$N$18)*'Assumptions'!$E$70+XNPV($E65,D24:N24,$D$18:$N$18),"n.a.")</x:f>
        <x:v>-2200225.667980829</x:v>
      </x:c>
      <x:c r="H65" s="91" t="n">
        <x:f>IF(IFERROR(AND('Assumptions'!$G$6="Inputs valid",AND(ISNUMBER($D65),$D65&gt;=0,$D65&lt;=1)),FALSE),XNPV($D65,D28:N28,$D$18:$N$18)*'Assumptions'!$E$60*'Assumptions'!$E$65+XNPV($D65,D29:N29,$D$18:$N$18)*'Assumptions'!$E$75+XNPV($D65,D30:N30,$D$18:$N$18)*'Assumptions'!$E$70+XNPV($D65,D31:N31,$D$18:$N$18),"n.a.")</x:f>
        <x:v>272450.30039347406</x:v>
      </x:c>
      <x:c r="I65" s="91" t="n">
        <x:f>IF(IFERROR(AND('Assumptions'!$G$6="Inputs valid",AND(ISNUMBER($E65),$E65&gt;=0,$E65&lt;=1)),FALSE),XNPV($E65,D28:N28,$D$18:$N$18)*'Assumptions'!$E$60*'Assumptions'!$E$65+XNPV($E65,D29:N29,$D$18:$N$18)*'Assumptions'!$E$75+XNPV($E65,D30:N30,$D$18:$N$18)*'Assumptions'!$E$70+XNPV($E65,D31:N31,$D$18:$N$18),"n.a.")</x:f>
        <x:v>-165733.21660186833</x:v>
      </x:c>
      <x:c r="J65" s="2"/>
      <x:c r="K65" s="2"/>
      <x:c r="L65" s="2"/>
      <x:c r="M65" s="2"/>
      <x:c r="N65" s="2"/>
    </x:row>
    <x:row r="66" ht="23" customHeight="1">
      <x:c r="A66" s="2"/>
      <x:c r="B66" s="2"/>
      <x:c r="C66" s="2"/>
      <x:c r="D66" s="2"/>
      <x:c r="E66" s="2"/>
      <x:c r="F66" s="2"/>
      <x:c r="G66" s="2"/>
      <x:c r="H66" s="2"/>
      <x:c r="I66" s="2"/>
      <x:c r="J66" s="2"/>
      <x:c r="K66" s="2"/>
      <x:c r="L66" s="2"/>
      <x:c r="M66" s="2"/>
      <x:c r="N66" s="2"/>
    </x:row>
    <x:row r="67" ht="23" customHeight="1">
      <x:c r="A67" s="2"/>
      <x:c r="B67" s="2"/>
      <x:c r="C67" s="2"/>
      <x:c r="D67" s="2"/>
      <x:c r="E67" s="2"/>
      <x:c r="F67" s="2"/>
      <x:c r="G67" s="2"/>
      <x:c r="H67" s="2"/>
      <x:c r="I67" s="2"/>
      <x:c r="J67" s="2"/>
      <x:c r="K67" s="2"/>
      <x:c r="L67" s="2"/>
      <x:c r="M67" s="2"/>
      <x:c r="N67" s="2"/>
    </x:row>
    <x:row r="68" ht="23" customHeight="1">
      <x:c r="A68" s="2"/>
      <x:c r="B68" s="2"/>
      <x:c r="C68" s="2"/>
      <x:c r="D68" s="2"/>
      <x:c r="E68" s="2"/>
      <x:c r="F68" s="2"/>
      <x:c r="G68" s="2"/>
      <x:c r="H68" s="2"/>
      <x:c r="I68" s="2"/>
      <x:c r="J68" s="2"/>
      <x:c r="K68" s="2"/>
      <x:c r="L68" s="2"/>
      <x:c r="M68" s="2"/>
      <x:c r="N68" s="2"/>
    </x:row>
    <x:row r="69" ht="23" customHeight="1">
      <x:c r="A69" s="2"/>
      <x:c r="B69" s="2"/>
      <x:c r="C69" s="2"/>
      <x:c r="D69" s="2"/>
      <x:c r="E69" s="2"/>
      <x:c r="F69" s="2"/>
      <x:c r="G69" s="2"/>
      <x:c r="H69" s="2"/>
      <x:c r="I69" s="2"/>
      <x:c r="J69" s="2"/>
      <x:c r="K69" s="2"/>
      <x:c r="L69" s="2"/>
      <x:c r="M69" s="2"/>
      <x:c r="N69" s="2"/>
    </x:row>
    <x:row r="70" ht="23" customHeight="1">
      <x:c r="A70" s="2"/>
      <x:c r="B70" s="2"/>
      <x:c r="C70" s="2"/>
      <x:c r="D70" s="2"/>
      <x:c r="E70" s="2"/>
      <x:c r="F70" s="2"/>
      <x:c r="G70" s="2"/>
      <x:c r="H70" s="2"/>
      <x:c r="I70" s="2"/>
      <x:c r="J70" s="2"/>
      <x:c r="K70" s="2"/>
      <x:c r="L70" s="2"/>
      <x:c r="M70" s="2"/>
      <x:c r="N70" s="2"/>
    </x:row>
    <x:row r="71" ht="23" customHeight="1">
      <x:c r="A71" s="2"/>
      <x:c r="B71" s="2"/>
      <x:c r="C71" s="2"/>
      <x:c r="D71" s="2"/>
      <x:c r="E71" s="2"/>
      <x:c r="F71" s="2"/>
      <x:c r="G71" s="2"/>
      <x:c r="H71" s="2"/>
      <x:c r="I71" s="2"/>
      <x:c r="J71" s="2"/>
      <x:c r="K71" s="2"/>
      <x:c r="L71" s="2"/>
      <x:c r="M71" s="2"/>
      <x:c r="N71" s="2"/>
    </x:row>
    <x:row r="72" ht="23" customHeight="1">
      <x:c r="A72" s="2"/>
      <x:c r="B72" s="2"/>
      <x:c r="C72" s="2"/>
      <x:c r="D72" s="2"/>
      <x:c r="E72" s="2"/>
      <x:c r="F72" s="2"/>
      <x:c r="G72" s="2"/>
      <x:c r="H72" s="2"/>
      <x:c r="I72" s="2"/>
      <x:c r="J72" s="2"/>
      <x:c r="K72" s="2"/>
      <x:c r="L72" s="2"/>
      <x:c r="M72" s="2"/>
      <x:c r="N72" s="2"/>
    </x:row>
    <x:row r="73" ht="23" customHeight="1">
      <x:c r="A73" s="2"/>
      <x:c r="B73" s="2"/>
      <x:c r="C73" s="2"/>
      <x:c r="D73" s="2"/>
      <x:c r="E73" s="2"/>
      <x:c r="F73" s="2"/>
      <x:c r="G73" s="2"/>
      <x:c r="H73" s="2"/>
      <x:c r="I73" s="2"/>
      <x:c r="J73" s="2"/>
      <x:c r="K73" s="2"/>
      <x:c r="L73" s="2"/>
      <x:c r="M73" s="2"/>
      <x:c r="N73" s="2"/>
    </x:row>
    <x:row r="74" ht="23" customHeight="1">
      <x:c r="A74" s="2"/>
      <x:c r="B74" s="2"/>
      <x:c r="C74" s="2"/>
      <x:c r="D74" s="2"/>
      <x:c r="E74" s="2"/>
      <x:c r="F74" s="2"/>
      <x:c r="G74" s="2"/>
      <x:c r="H74" s="2"/>
      <x:c r="I74" s="2"/>
      <x:c r="J74" s="2"/>
      <x:c r="K74" s="2"/>
      <x:c r="L74" s="2"/>
      <x:c r="M74" s="2"/>
      <x:c r="N74" s="2"/>
    </x:row>
    <x:row r="75" ht="23" customHeight="1">
      <x:c r="A75" s="2"/>
      <x:c r="B75" s="2"/>
      <x:c r="C75" s="2"/>
      <x:c r="D75" s="2"/>
      <x:c r="E75" s="2"/>
      <x:c r="F75" s="2"/>
      <x:c r="G75" s="2"/>
      <x:c r="H75" s="2"/>
      <x:c r="I75" s="2"/>
      <x:c r="J75" s="2"/>
      <x:c r="K75" s="2"/>
      <x:c r="L75" s="2"/>
      <x:c r="M75" s="2"/>
      <x:c r="N75" s="2"/>
    </x:row>
  </x:sheetData>
  <x:conditionalFormatting sqref="I8:L10">
    <x:cfRule type="containsText" dxfId="5" priority="1" operator="containsText" text="INVALID"/>
  </x:conditionalFormatting>
  <x:printOptions horizontalCentered="1" headings="0" gridLines="0"/>
  <x:pageMargins left="0.3" right="0.3" top="0.35" bottom="0.35" header="0.15" footer="0.15"/>
  <x:pageSetup paperSize="3" orientation="landscape" fitToWidth="1" fitToHeight="0"/>
  <x:headerFooter>
    <x:oddFooter>&amp;L&amp;"Times New Roman,Regular"&amp;9Scenarios&amp;RPage &amp;P of &amp;N</x:oddFooter>
  </x:headerFooter>
</x:worksheet>
</file>

<file path=xl/worksheets/sheet8.xml><?xml version="1.0" encoding="utf-8"?>
<x:worksheet xmlns:x="http://schemas.openxmlformats.org/spreadsheetml/2006/main">
  <x:sheetPr>
    <x:pageSetUpPr fitToPage="1"/>
  </x:sheetPr>
  <x:sheetViews>
    <x:sheetView showGridLines="0" workbookViewId="0">
      <x:pane ySplit="7" topLeftCell="A8" activePane="bottomLeft" state="frozen"/>
    </x:sheetView>
  </x:sheetViews>
  <x:sheetFormatPr defaultRowHeight="15"/>
  <x:cols>
    <x:col min="1" max="1" width="3" hidden="0" customWidth="1"/>
    <x:col min="2" max="2" width="3" hidden="0" customWidth="1"/>
    <x:col min="3" max="3" width="48" hidden="0" customWidth="1"/>
    <x:col min="4" max="4" width="17" hidden="0" customWidth="1"/>
    <x:col min="5" max="5" width="17" hidden="0" customWidth="1"/>
    <x:col min="6" max="6" width="17" hidden="0" customWidth="1"/>
    <x:col min="7" max="7" width="17" hidden="0" customWidth="1"/>
    <x:col min="8" max="8" width="17" hidden="0" customWidth="1"/>
    <x:col min="9" max="9" width="17" hidden="0" customWidth="1"/>
    <x:col min="10" max="10" width="17" hidden="0" customWidth="1"/>
    <x:col min="11" max="11" width="17" hidden="0" customWidth="1"/>
    <x:col min="12" max="12" width="17" hidden="0" customWidth="1"/>
    <x:col min="13" max="13" width="17" hidden="0" customWidth="1"/>
    <x:col min="14" max="14" width="17" hidden="0" customWidth="1"/>
  </x:cols>
  <x:sheetData>
    <x:row r="1" ht="23" customHeight="1">
      <x:c r="A1" s="2"/>
      <x:c r="B1" s="2"/>
      <x:c r="C1" s="2"/>
      <x:c r="D1" s="2"/>
      <x:c r="E1" s="2"/>
      <x:c r="F1" s="2"/>
      <x:c r="G1" s="2"/>
      <x:c r="H1" s="2"/>
      <x:c r="I1" s="2"/>
      <x:c r="J1" s="2"/>
      <x:c r="K1" s="2"/>
      <x:c r="L1" s="2"/>
      <x:c r="M1" s="2"/>
      <x:c r="N1" s="2"/>
    </x:row>
    <x:row r="2" ht="23" customHeight="1">
      <x:c r="A2" s="2"/>
      <x:c r="B2" s="2"/>
      <x:c r="C2" s="3" t="str">
        <x:v>Model audit</x:v>
      </x:c>
      <x:c r="D2" s="2"/>
      <x:c r="E2" s="2"/>
      <x:c r="F2" s="2"/>
      <x:c r="G2" s="2"/>
      <x:c r="H2" s="2"/>
      <x:c r="I2" s="2"/>
      <x:c r="J2" s="2"/>
      <x:c r="K2" s="2"/>
      <x:c r="L2" s="2"/>
      <x:c r="M2" s="2"/>
      <x:c r="N2" s="2"/>
    </x:row>
    <x:row r="3" ht="23" customHeight="1">
      <x:c r="A3" s="2"/>
      <x:c r="B3" s="2"/>
      <x:c r="C3" s="5" t="str">
        <x:v>Checks: $0.01 monetary tolerance; 1E-8 fractional tolerance. Annual residuals cannot cancel.</x:v>
      </x:c>
      <x:c r="D3" s="2"/>
      <x:c r="E3" s="2"/>
      <x:c r="F3" s="2"/>
      <x:c r="G3" s="2"/>
      <x:c r="H3" s="2"/>
      <x:c r="I3" s="2"/>
      <x:c r="J3" s="2"/>
      <x:c r="K3" s="2"/>
      <x:c r="L3" s="2"/>
      <x:c r="M3" s="2"/>
      <x:c r="N3" s="2"/>
    </x:row>
    <x:row r="4" ht="23" customHeight="1">
      <x:c r="A4" s="2"/>
      <x:c r="B4" s="2"/>
      <x:c r="C4" s="2"/>
      <x:c r="D4" s="2"/>
      <x:c r="E4" s="2"/>
      <x:c r="F4" s="2"/>
      <x:c r="G4" s="2"/>
      <x:c r="H4" s="2"/>
      <x:c r="I4" s="2"/>
      <x:c r="J4" s="2"/>
      <x:c r="K4" s="2"/>
      <x:c r="L4" s="2"/>
      <x:c r="M4" s="2"/>
      <x:c r="N4" s="2"/>
    </x:row>
    <x:row r="5" ht="23" customHeight="1">
      <x:c r="A5" s="2"/>
      <x:c r="B5" s="2"/>
      <x:c r="C5" s="2" t="str">
        <x:v>Selected scenario</x:v>
      </x:c>
      <x:c r="D5" s="56" t="str">
        <x:f>'Assumptions'!E6</x:f>
        <x:v>Base</x:v>
      </x:c>
      <x:c r="E5" s="2"/>
      <x:c r="F5" s="2"/>
      <x:c r="G5" s="2"/>
      <x:c r="H5" s="2"/>
      <x:c r="I5" s="2"/>
      <x:c r="J5" s="2"/>
      <x:c r="K5" s="2"/>
      <x:c r="L5" s="2"/>
      <x:c r="M5" s="2"/>
      <x:c r="N5" s="2"/>
    </x:row>
    <x:row r="6" ht="23" customHeight="1">
      <x:c r="A6" s="2"/>
      <x:c r="B6" s="2"/>
      <x:c r="C6" s="2"/>
      <x:c r="D6" s="2"/>
      <x:c r="E6" s="2"/>
      <x:c r="F6" s="2"/>
      <x:c r="G6" s="2"/>
      <x:c r="H6" s="2"/>
      <x:c r="I6" s="2"/>
      <x:c r="J6" s="2"/>
      <x:c r="K6" s="2"/>
      <x:c r="L6" s="2"/>
      <x:c r="M6" s="2"/>
      <x:c r="N6" s="2"/>
    </x:row>
    <x:row r="7" ht="28" customHeight="1">
      <x:c r="A7" s="2"/>
      <x:c r="B7" s="2"/>
      <x:c r="C7" s="11" t="str">
        <x:v>Check</x:v>
      </x:c>
      <x:c r="D7" s="11" t="str">
        <x:v>Difference / count</x:v>
      </x:c>
      <x:c r="E7" s="11" t="str">
        <x:v>Status</x:v>
      </x:c>
      <x:c r="F7" s="2"/>
      <x:c r="G7" s="77" t="str">
        <x:v>Input controls (all cases)</x:v>
      </x:c>
      <x:c r="H7" s="77"/>
      <x:c r="I7" s="77"/>
      <x:c r="J7" s="77" t="str">
        <x:v>Issues</x:v>
      </x:c>
      <x:c r="K7" s="77" t="str">
        <x:v>Status</x:v>
      </x:c>
      <x:c r="L7" s="2"/>
      <x:c r="M7" s="2"/>
      <x:c r="N7" s="2"/>
    </x:row>
    <x:row r="8" ht="23" customHeight="1">
      <x:c r="A8" s="2"/>
      <x:c r="B8" s="2"/>
      <x:c r="C8" s="2" t="str">
        <x:v>B funding allocation</x:v>
      </x:c>
      <x:c r="D8" s="87" t="n">
        <x:f>IF('Assumptions'!$G$6="Inputs valid",'CapEx'!F28-SUM('CapEx'!F30:F32),"n.a.")</x:f>
        <x:v>0</x:v>
      </x:c>
      <x:c r="E8" s="69" t="str">
        <x:f>IF(ISNUMBER(D8),IF(ABS(D8)&lt;=0.01,"PASS","REVIEW"),"INPUT ERROR")</x:f>
        <x:v>PASS</x:v>
      </x:c>
      <x:c r="F8" s="2"/>
      <x:c r="G8" s="77" t="str">
        <x:v>Energy and O&amp;M</x:v>
      </x:c>
      <x:c r="H8" s="77"/>
      <x:c r="I8" s="77"/>
      <x:c r="J8" s="95" t="n">
        <x:f>COUNTIF('Assumptions'!G66:G68,"&lt;&gt;OK")+COUNTIF('Assumptions'!G76:G78,"&lt;&gt;OK")</x:f>
        <x:v>0</x:v>
      </x:c>
      <x:c r="K8" s="95" t="str">
        <x:f>IF(J8=0,"PASS","REVIEW")</x:f>
        <x:v>PASS</x:v>
      </x:c>
      <x:c r="L8" s="2"/>
      <x:c r="M8" s="2"/>
      <x:c r="N8" s="2"/>
    </x:row>
    <x:row r="9" ht="23" customHeight="1">
      <x:c r="A9" s="2"/>
      <x:c r="B9" s="2"/>
      <x:c r="C9" s="2" t="str">
        <x:v>C funding allocation</x:v>
      </x:c>
      <x:c r="D9" s="87" t="n">
        <x:f>IF('Assumptions'!$G$6="Inputs valid",'CapEx'!I28-SUM('CapEx'!I30:I32),"n.a.")</x:f>
        <x:v>0</x:v>
      </x:c>
      <x:c r="E9" s="69" t="str">
        <x:f>IF(ISNUMBER(D9),IF(ABS(D9)&lt;=0.01,"PASS","REVIEW"),"INPUT ERROR")</x:f>
        <x:v>PASS</x:v>
      </x:c>
      <x:c r="F9" s="2"/>
      <x:c r="G9" s="77" t="str">
        <x:v>Capital multipliers</x:v>
      </x:c>
      <x:c r="H9" s="77"/>
      <x:c r="I9" s="77"/>
      <x:c r="J9" s="95" t="n">
        <x:f>COUNTIF('Assumptions'!G71:G73,"&lt;&gt;OK")</x:f>
        <x:v>0</x:v>
      </x:c>
      <x:c r="K9" s="95" t="str">
        <x:f>IF(J9=0,"PASS","REVIEW")</x:f>
        <x:v>PASS</x:v>
      </x:c>
      <x:c r="L9" s="2"/>
      <x:c r="M9" s="2"/>
      <x:c r="N9" s="2"/>
    </x:row>
    <x:row r="10" ht="23" customHeight="1">
      <x:c r="A10" s="2"/>
      <x:c r="B10" s="2"/>
      <x:c r="C10" s="2" t="str">
        <x:v>B absolute vs incremental cash</x:v>
      </x:c>
      <x:c r="D10" s="87" t="n">
        <x:f>IF('Assumptions'!$G$6="Inputs valid",SUM(ABS('Cash Flow'!D27-'Cash Flow'!D16-'Cash Flow'!D54),ABS('Cash Flow'!E27-'Cash Flow'!E16-'Cash Flow'!E54),ABS('Cash Flow'!F27-'Cash Flow'!F16-'Cash Flow'!F54),ABS('Cash Flow'!G27-'Cash Flow'!G16-'Cash Flow'!G54),ABS('Cash Flow'!H27-'Cash Flow'!H16-'Cash Flow'!H54),ABS('Cash Flow'!I27-'Cash Flow'!I16-'Cash Flow'!I54),ABS('Cash Flow'!J27-'Cash Flow'!J16-'Cash Flow'!J54),ABS('Cash Flow'!K27-'Cash Flow'!K16-'Cash Flow'!K54),ABS('Cash Flow'!L27-'Cash Flow'!L16-'Cash Flow'!L54),ABS('Cash Flow'!M27-'Cash Flow'!M16-'Cash Flow'!M54),ABS('Cash Flow'!N27-'Cash Flow'!N16-'Cash Flow'!N54)),"n.a.")</x:f>
        <x:v>9.313225746154785e-10</x:v>
      </x:c>
      <x:c r="E10" s="69" t="str">
        <x:f>IF(ISNUMBER(D10),IF(ABS(D10)&lt;=0.01,"PASS","REVIEW"),"INPUT ERROR")</x:f>
        <x:v>PASS</x:v>
      </x:c>
      <x:c r="F10" s="2"/>
      <x:c r="G10" s="77" t="str">
        <x:v>Scenario inputs</x:v>
      </x:c>
      <x:c r="H10" s="77"/>
      <x:c r="I10" s="77"/>
      <x:c r="J10" s="95" t="n">
        <x:f>COUNTIF('Scenarios'!I8:I10,"&lt;&gt;OK")</x:f>
        <x:v>0</x:v>
      </x:c>
      <x:c r="K10" s="95" t="str">
        <x:f>IF(J10=0,"PASS","REVIEW")</x:f>
        <x:v>PASS</x:v>
      </x:c>
      <x:c r="L10" s="2"/>
      <x:c r="M10" s="2"/>
      <x:c r="N10" s="2"/>
    </x:row>
    <x:row r="11" ht="23" customHeight="1">
      <x:c r="A11" s="2"/>
      <x:c r="B11" s="2"/>
      <x:c r="C11" s="2" t="str">
        <x:v>C absolute vs incremental cash</x:v>
      </x:c>
      <x:c r="D11" s="87" t="n">
        <x:f>IF('Assumptions'!$G$6="Inputs valid",SUM(ABS('Cash Flow'!D38-'Cash Flow'!D16-'Cash Flow'!D76),ABS('Cash Flow'!E38-'Cash Flow'!E16-'Cash Flow'!E76),ABS('Cash Flow'!F38-'Cash Flow'!F16-'Cash Flow'!F76),ABS('Cash Flow'!G38-'Cash Flow'!G16-'Cash Flow'!G76),ABS('Cash Flow'!H38-'Cash Flow'!H16-'Cash Flow'!H76),ABS('Cash Flow'!I38-'Cash Flow'!I16-'Cash Flow'!I76),ABS('Cash Flow'!J38-'Cash Flow'!J16-'Cash Flow'!J76),ABS('Cash Flow'!K38-'Cash Flow'!K16-'Cash Flow'!K76),ABS('Cash Flow'!L38-'Cash Flow'!L16-'Cash Flow'!L76),ABS('Cash Flow'!M38-'Cash Flow'!M16-'Cash Flow'!M76),ABS('Cash Flow'!N38-'Cash Flow'!N16-'Cash Flow'!N76)),"n.a.")</x:f>
        <x:v>9.604264050722122e-10</x:v>
      </x:c>
      <x:c r="E11" s="69" t="str">
        <x:f>IF(ISNUMBER(D11),IF(ABS(D11)&lt;=0.01,"PASS","REVIEW"),"INPUT ERROR")</x:f>
        <x:v>PASS</x:v>
      </x:c>
      <x:c r="F11" s="2"/>
      <x:c r="G11" s="77" t="str">
        <x:v>Weights and MACRS</x:v>
      </x:c>
      <x:c r="H11" s="77"/>
      <x:c r="I11" s="77"/>
      <x:c r="J11" s="95" t="n">
        <x:f>IF('Assumptions'!G87="Weights valid",0,1)+IF('Assumptions'!G91="MACRS valid",0,1)</x:f>
        <x:v>0</x:v>
      </x:c>
      <x:c r="K11" s="95" t="str">
        <x:f>IF(J11=0,"PASS","REVIEW")</x:f>
        <x:v>PASS</x:v>
      </x:c>
      <x:c r="L11" s="2"/>
      <x:c r="M11" s="2"/>
      <x:c r="N11" s="2"/>
    </x:row>
    <x:row r="12" ht="23" customHeight="1">
      <x:c r="A12" s="2"/>
      <x:c r="B12" s="2"/>
      <x:c r="C12" s="2" t="str">
        <x:v>B dated NPV vs discounted sum</x:v>
      </x:c>
      <x:c r="D12" s="87" t="n">
        <x:f>IF('Assumptions'!$G$6="Inputs valid",'Cash Flow'!E89-SUM('Cash Flow'!D57:N57),"n.a.")</x:f>
        <x:v>-4.656612873077393e-10</x:v>
      </x:c>
      <x:c r="E12" s="69" t="str">
        <x:f>IF(ISNUMBER(D12),IF(ABS(D12)&lt;=0.01,"PASS","REVIEW"),"INPUT ERROR")</x:f>
        <x:v>PASS</x:v>
      </x:c>
      <x:c r="F12" s="2"/>
      <x:c r="G12" s="2"/>
      <x:c r="H12" s="2"/>
      <x:c r="I12" s="2"/>
      <x:c r="J12" s="2"/>
      <x:c r="K12" s="2"/>
      <x:c r="L12" s="2"/>
      <x:c r="M12" s="2"/>
      <x:c r="N12" s="2"/>
    </x:row>
    <x:row r="13" ht="23" customHeight="1">
      <x:c r="A13" s="2"/>
      <x:c r="B13" s="2"/>
      <x:c r="C13" s="2" t="str">
        <x:v>C dated NPV vs discounted sum</x:v>
      </x:c>
      <x:c r="D13" s="87" t="n">
        <x:f>IF('Assumptions'!$G$6="Inputs valid",'Cash Flow'!F89-SUM('Cash Flow'!D79:N79),"n.a.")</x:f>
        <x:v>-1.0186340659856796e-10</x:v>
      </x:c>
      <x:c r="E13" s="69" t="str">
        <x:f>IF(ISNUMBER(D13),IF(ABS(D13)&lt;=0.01,"PASS","REVIEW"),"INPUT ERROR")</x:f>
        <x:v>PASS</x:v>
      </x:c>
      <x:c r="F13" s="2"/>
      <x:c r="G13" s="2"/>
      <x:c r="H13" s="2"/>
      <x:c r="I13" s="2"/>
      <x:c r="J13" s="2"/>
      <x:c r="K13" s="2"/>
      <x:c r="L13" s="2"/>
      <x:c r="M13" s="2"/>
      <x:c r="N13" s="2"/>
    </x:row>
    <x:row r="14" ht="23" customHeight="1">
      <x:c r="A14" s="2"/>
      <x:c r="B14" s="2"/>
      <x:c r="C14" s="2" t="str">
        <x:v>B XIRR zero-value residual</x:v>
      </x:c>
      <x:c r="D14" s="87" t="n">
        <x:f>IF(AND('Assumptions'!$G$6="Inputs valid",ISNUMBER('Cash Flow'!E90)),SUM(D24:N24),"n.a.")</x:f>
        <x:v>2.0372681319713593e-9</x:v>
      </x:c>
      <x:c r="E14" s="69" t="str">
        <x:f>IF(ISNUMBER(D14),IF(ABS(D14)&lt;=0.01,"PASS","REVIEW"),"INPUT ERROR")</x:f>
        <x:v>PASS</x:v>
      </x:c>
      <x:c r="F14" s="2"/>
      <x:c r="G14" s="2"/>
      <x:c r="H14" s="2"/>
      <x:c r="I14" s="2"/>
      <x:c r="J14" s="2"/>
      <x:c r="K14" s="2"/>
      <x:c r="L14" s="2"/>
      <x:c r="M14" s="2"/>
      <x:c r="N14" s="2"/>
    </x:row>
    <x:row r="15" ht="23" customHeight="1">
      <x:c r="A15" s="2"/>
      <x:c r="B15" s="2"/>
      <x:c r="C15" s="2" t="str">
        <x:v>C XIRR zero-value residual</x:v>
      </x:c>
      <x:c r="D15" s="87" t="n">
        <x:f>IF(AND('Assumptions'!$G$6="Inputs valid",ISNUMBER('Cash Flow'!F90)),SUM(D25:N25),"n.a.")</x:f>
        <x:v>7.130438461899757e-10</x:v>
      </x:c>
      <x:c r="E15" s="69" t="str">
        <x:f>IF(ISNUMBER(D15),IF(ABS(D15)&lt;=0.01,"PASS","REVIEW"),"INPUT ERROR")</x:f>
        <x:v>PASS</x:v>
      </x:c>
      <x:c r="F15" s="2"/>
      <x:c r="G15" s="2"/>
      <x:c r="H15" s="2"/>
      <x:c r="I15" s="2"/>
      <x:c r="J15" s="2"/>
      <x:c r="K15" s="2"/>
      <x:c r="L15" s="2"/>
      <x:c r="M15" s="2"/>
      <x:c r="N15" s="2"/>
    </x:row>
    <x:row r="16" ht="23" customHeight="1">
      <x:c r="A16" s="2"/>
      <x:c r="B16" s="2"/>
      <x:c r="C16" s="2" t="str">
        <x:v>B scenario components vs cash flow</x:v>
      </x:c>
      <x:c r="D16" s="87" t="n">
        <x:f>IF('Assumptions'!$G$6="Inputs valid",SUM(ABS('Scenarios'!D25-'Cash Flow'!D54),ABS('Scenarios'!E25-'Cash Flow'!E54),ABS('Scenarios'!F25-'Cash Flow'!F54),ABS('Scenarios'!G25-'Cash Flow'!G54),ABS('Scenarios'!H25-'Cash Flow'!H54),ABS('Scenarios'!I25-'Cash Flow'!I54),ABS('Scenarios'!J25-'Cash Flow'!J54),ABS('Scenarios'!K25-'Cash Flow'!K54),ABS('Scenarios'!L25-'Cash Flow'!L54),ABS('Scenarios'!M25-'Cash Flow'!M54),ABS('Scenarios'!N25-'Cash Flow'!N54)),"n.a.")</x:f>
        <x:v>1.7462298274040222e-10</x:v>
      </x:c>
      <x:c r="E16" s="69" t="str">
        <x:f>IF(ISNUMBER(D16),IF(ABS(D16)&lt;=0.01,"PASS","REVIEW"),"INPUT ERROR")</x:f>
        <x:v>PASS</x:v>
      </x:c>
      <x:c r="F16" s="2"/>
      <x:c r="G16" s="2"/>
      <x:c r="H16" s="2"/>
      <x:c r="I16" s="2"/>
      <x:c r="J16" s="2"/>
      <x:c r="K16" s="2"/>
      <x:c r="L16" s="2"/>
      <x:c r="M16" s="2"/>
      <x:c r="N16" s="2"/>
    </x:row>
    <x:row r="17" ht="23" customHeight="1">
      <x:c r="A17" s="2"/>
      <x:c r="B17" s="2"/>
      <x:c r="C17" s="2" t="str">
        <x:v>C scenario components vs cash flow</x:v>
      </x:c>
      <x:c r="D17" s="87" t="n">
        <x:f>IF('Assumptions'!$G$6="Inputs valid",SUM(ABS('Scenarios'!D32-'Cash Flow'!D76),ABS('Scenarios'!E32-'Cash Flow'!E76),ABS('Scenarios'!F32-'Cash Flow'!F76),ABS('Scenarios'!G32-'Cash Flow'!G76),ABS('Scenarios'!H32-'Cash Flow'!H76),ABS('Scenarios'!I32-'Cash Flow'!I76),ABS('Scenarios'!J32-'Cash Flow'!J76),ABS('Scenarios'!K32-'Cash Flow'!K76),ABS('Scenarios'!L32-'Cash Flow'!L76),ABS('Scenarios'!M32-'Cash Flow'!M76),ABS('Scenarios'!N32-'Cash Flow'!N76)),"n.a.")</x:f>
        <x:v>1.7462298274040222e-10</x:v>
      </x:c>
      <x:c r="E17" s="69" t="str">
        <x:f>IF(ISNUMBER(D17),IF(ABS(D17)&lt;=0.01,"PASS","REVIEW"),"INPUT ERROR")</x:f>
        <x:v>PASS</x:v>
      </x:c>
      <x:c r="F17" s="2"/>
      <x:c r="G17" s="2"/>
      <x:c r="H17" s="2"/>
      <x:c r="I17" s="2"/>
      <x:c r="J17" s="2"/>
      <x:c r="K17" s="2"/>
      <x:c r="L17" s="2"/>
      <x:c r="M17" s="2"/>
      <x:c r="N17" s="2"/>
    </x:row>
    <x:row r="18" ht="23" customHeight="1">
      <x:c r="A18" s="2"/>
      <x:c r="B18" s="2"/>
      <x:c r="C18" s="2" t="str">
        <x:v>Subjective weights sum to one</x:v>
      </x:c>
      <x:c r="D18" s="87" t="n">
        <x:f>SUM('Assumptions'!E86:G86)-1</x:f>
        <x:v>0</x:v>
      </x:c>
      <x:c r="E18" s="69" t="str">
        <x:f>IF(ISNUMBER(D18),IF(ABS(D18)&lt;=1E-8,"PASS","REVIEW"),"INPUT ERROR")</x:f>
        <x:v>PASS</x:v>
      </x:c>
      <x:c r="F18" s="2"/>
      <x:c r="G18" s="2"/>
      <x:c r="H18" s="2"/>
      <x:c r="I18" s="2"/>
      <x:c r="J18" s="2"/>
      <x:c r="K18" s="2"/>
      <x:c r="L18" s="2"/>
      <x:c r="M18" s="2"/>
      <x:c r="N18" s="2"/>
    </x:row>
    <x:row r="19" ht="23" customHeight="1">
      <x:c r="A19" s="2"/>
      <x:c r="B19" s="2"/>
      <x:c r="C19" s="2" t="str">
        <x:v>Computer MACRS totals 100%</x:v>
      </x:c>
      <x:c r="D19" s="87" t="n">
        <x:f>SUM('Assumptions'!D90:I90)-1</x:f>
        <x:v>-1.1102230246251565e-16</x:v>
      </x:c>
      <x:c r="E19" s="69" t="str">
        <x:f>IF(ISNUMBER(D19),IF(ABS(D19)&lt;=1E-8,"PASS","REVIEW"),"INPUT ERROR")</x:f>
        <x:v>PASS</x:v>
      </x:c>
      <x:c r="F19" s="2"/>
      <x:c r="G19" s="2"/>
      <x:c r="H19" s="2"/>
      <x:c r="I19" s="2"/>
      <x:c r="J19" s="2"/>
      <x:c r="K19" s="2"/>
      <x:c r="L19" s="2"/>
      <x:c r="M19" s="2"/>
      <x:c r="N19" s="2"/>
    </x:row>
    <x:row r="20" ht="23" customHeight="1">
      <x:c r="A20" s="2"/>
      <x:c r="B20" s="2"/>
      <x:c r="C20" s="2" t="str">
        <x:v>B tax basis rollforward</x:v>
      </x:c>
      <x:c r="D20" s="87" t="n">
        <x:f>IF('Assumptions'!$G$6="Inputs valid",SUM('CapEx'!F30:F31)+SUM('Tax'!E32:N32)-SUM('Tax'!E35:N35)-'Tax'!N36-'Tax'!N37,"n.a.")</x:f>
        <x:v>9.604264050722122e-10</x:v>
      </x:c>
      <x:c r="E20" s="69" t="str">
        <x:f>IF(ISNUMBER(D20),IF(ABS(D20)&lt;=0.01,"PASS","REVIEW"),"INPUT ERROR")</x:f>
        <x:v>PASS</x:v>
      </x:c>
      <x:c r="F20" s="2"/>
      <x:c r="G20" s="2"/>
      <x:c r="H20" s="2"/>
      <x:c r="I20" s="2"/>
      <x:c r="J20" s="2"/>
      <x:c r="K20" s="2"/>
      <x:c r="L20" s="2"/>
      <x:c r="M20" s="2"/>
      <x:c r="N20" s="2"/>
    </x:row>
    <x:row r="21" ht="23" customHeight="1">
      <x:c r="A21" s="2"/>
      <x:c r="B21" s="2"/>
      <x:c r="C21" s="2" t="str">
        <x:v>C tax basis rollforward</x:v>
      </x:c>
      <x:c r="D21" s="87" t="n">
        <x:f>IF('Assumptions'!$G$6="Inputs valid",SUM('CapEx'!I30:I31)+SUM('Tax'!E48:N48)-SUM('Tax'!E51:N51)-'Tax'!N52-'Tax'!N53,"n.a.")</x:f>
        <x:v>2.3283064365386963e-10</x:v>
      </x:c>
      <x:c r="E21" s="69" t="str">
        <x:f>IF(ISNUMBER(D21),IF(ABS(D21)&lt;=0.01,"PASS","REVIEW"),"INPUT ERROR")</x:f>
        <x:v>PASS</x:v>
      </x:c>
      <x:c r="F21" s="2"/>
      <x:c r="G21" s="2"/>
      <x:c r="H21" s="2"/>
      <x:c r="I21" s="2"/>
      <x:c r="J21" s="2"/>
      <x:c r="K21" s="2"/>
      <x:c r="L21" s="2"/>
      <x:c r="M21" s="2"/>
      <x:c r="N21" s="2"/>
    </x:row>
    <x:row r="22" ht="23" customHeight="1">
      <x:c r="A22" s="2"/>
      <x:c r="B22" s="2"/>
      <x:c r="C22" s="2"/>
      <x:c r="D22" s="2"/>
      <x:c r="E22" s="2"/>
      <x:c r="F22" s="2"/>
      <x:c r="G22" s="2"/>
      <x:c r="H22" s="2"/>
      <x:c r="I22" s="2"/>
      <x:c r="J22" s="2"/>
      <x:c r="K22" s="2"/>
      <x:c r="L22" s="2"/>
      <x:c r="M22" s="2"/>
      <x:c r="N22" s="2"/>
    </x:row>
    <x:row r="23" ht="23" customHeight="1">
      <x:c r="A23" s="2"/>
      <x:c r="B23" s="2"/>
      <x:c r="C23" s="2"/>
      <x:c r="D23" s="2"/>
      <x:c r="E23" s="2"/>
      <x:c r="F23" s="2"/>
      <x:c r="G23" s="2"/>
      <x:c r="H23" s="2"/>
      <x:c r="I23" s="2"/>
      <x:c r="J23" s="2"/>
      <x:c r="K23" s="2"/>
      <x:c r="L23" s="2"/>
      <x:c r="M23" s="2"/>
      <x:c r="N23" s="2"/>
    </x:row>
    <x:row r="24" ht="23" customHeight="1">
      <x:c r="A24" s="2"/>
      <x:c r="B24" s="2"/>
      <x:c r="C24" s="2" t="str">
        <x:v>B cash flows discounted at XIRR</x:v>
      </x:c>
      <x:c r="D24" s="68" t="n">
        <x:f>IF(ISNUMBER('Cash Flow'!E90),'Cash Flow'!D54/(1+'Cash Flow'!$E$90)^(('Cash Flow'!D$8-'Cash Flow'!$D$8)/365),NA())</x:f>
        <x:v>-5000000</x:v>
      </x:c>
      <x:c r="E24" s="68" t="n">
        <x:f>IF(ISNUMBER('Cash Flow'!E90),'Cash Flow'!E54/(1+'Cash Flow'!$E$90)^(('Cash Flow'!E$8-'Cash Flow'!$D$8)/365),NA())</x:f>
        <x:v>331322.29148555617</x:v>
      </x:c>
      <x:c r="F24" s="68" t="n">
        <x:f>IF(ISNUMBER('Cash Flow'!E90),'Cash Flow'!F54/(1+'Cash Flow'!$E$90)^(('Cash Flow'!F$8-'Cash Flow'!$D$8)/365),NA())</x:f>
        <x:v>335128.4948561277</x:v>
      </x:c>
      <x:c r="G24" s="68" t="n">
        <x:f>IF(ISNUMBER('Cash Flow'!E90),'Cash Flow'!G54/(1+'Cash Flow'!$E$90)^(('Cash Flow'!G$8-'Cash Flow'!$D$8)/365),NA())</x:f>
        <x:v>1192941.7855997896</x:v>
      </x:c>
      <x:c r="H24" s="68" t="n">
        <x:f>IF(ISNUMBER('Cash Flow'!E90),'Cash Flow'!H54/(1+'Cash Flow'!$E$90)^(('Cash Flow'!H$8-'Cash Flow'!$D$8)/365),NA())</x:f>
        <x:v>345278.93175863026</x:v>
      </x:c>
      <x:c r="I24" s="68" t="n">
        <x:f>IF(ISNUMBER('Cash Flow'!E90),'Cash Flow'!I54/(1+'Cash Flow'!$E$90)^(('Cash Flow'!I$8-'Cash Flow'!$D$8)/365),NA())</x:f>
        <x:v>354497.90460896154</x:v>
      </x:c>
      <x:c r="J24" s="68" t="n">
        <x:f>IF(ISNUMBER('Cash Flow'!E90),'Cash Flow'!J54/(1+'Cash Flow'!$E$90)^(('Cash Flow'!J$8-'Cash Flow'!$D$8)/365),NA())</x:f>
        <x:v>363571.9139413095</x:v>
      </x:c>
      <x:c r="K24" s="68" t="n">
        <x:f>IF(ISNUMBER('Cash Flow'!E90),'Cash Flow'!K54/(1+'Cash Flow'!$E$90)^(('Cash Flow'!K$8-'Cash Flow'!$D$8)/365),NA())</x:f>
        <x:v>908818.1012031881</x:v>
      </x:c>
      <x:c r="L24" s="68" t="n">
        <x:f>IF(ISNUMBER('Cash Flow'!E90),'Cash Flow'!L54/(1+'Cash Flow'!$E$90)^(('Cash Flow'!L$8-'Cash Flow'!$D$8)/365),NA())</x:f>
        <x:v>379077.3795727531</x:v>
      </x:c>
      <x:c r="M24" s="68" t="n">
        <x:f>IF(ISNUMBER('Cash Flow'!E90),'Cash Flow'!M54/(1+'Cash Flow'!$E$90)^(('Cash Flow'!M$8-'Cash Flow'!$D$8)/365),NA())</x:f>
        <x:v>389380.2662840471</x:v>
      </x:c>
      <x:c r="N24" s="68" t="n">
        <x:f>IF(ISNUMBER('Cash Flow'!E90),'Cash Flow'!N54/(1+'Cash Flow'!$E$90)^(('Cash Flow'!N$8-'Cash Flow'!$D$8)/365),NA())</x:f>
        <x:v>399982.93068963895</x:v>
      </x:c>
    </x:row>
    <x:row r="25" ht="23" customHeight="1">
      <x:c r="A25" s="2"/>
      <x:c r="B25" s="2"/>
      <x:c r="C25" s="2" t="str">
        <x:v>C cash flows discounted at XIRR</x:v>
      </x:c>
      <x:c r="D25" s="68" t="n">
        <x:f>IF(ISNUMBER('Cash Flow'!F90),'Cash Flow'!D76/(1+'Cash Flow'!$F$90)^(('Cash Flow'!D$8-'Cash Flow'!$D$8)/365),NA())</x:f>
        <x:v>-1669000</x:v>
      </x:c>
      <x:c r="E25" s="68" t="n">
        <x:f>IF(ISNUMBER('Cash Flow'!F90),'Cash Flow'!E76/(1+'Cash Flow'!$F$90)^(('Cash Flow'!E$8-'Cash Flow'!$D$8)/365),NA())</x:f>
        <x:v>140167.12104192178</x:v>
      </x:c>
      <x:c r="F25" s="68" t="n">
        <x:f>IF(ISNUMBER('Cash Flow'!F90),'Cash Flow'!F76/(1+'Cash Flow'!$F$90)^(('Cash Flow'!F$8-'Cash Flow'!$D$8)/365),NA())</x:f>
        <x:v>128224.90073367761</x:v>
      </x:c>
      <x:c r="G25" s="68" t="n">
        <x:f>IF(ISNUMBER('Cash Flow'!F90),'Cash Flow'!G76/(1+'Cash Flow'!$F$90)^(('Cash Flow'!G$8-'Cash Flow'!$D$8)/365),NA())</x:f>
        <x:v>760227.3072702733</x:v>
      </x:c>
      <x:c r="H25" s="68" t="n">
        <x:f>IF(ISNUMBER('Cash Flow'!F90),'Cash Flow'!H76/(1+'Cash Flow'!$F$90)^(('Cash Flow'!H$8-'Cash Flow'!$D$8)/365),NA())</x:f>
        <x:v>107202.562161748</x:v>
      </x:c>
      <x:c r="I25" s="68" t="n">
        <x:f>IF(ISNUMBER('Cash Flow'!F90),'Cash Flow'!I76/(1+'Cash Flow'!$F$90)^(('Cash Flow'!I$8-'Cash Flow'!$D$8)/365),NA())</x:f>
        <x:v>-250986.19636961236</x:v>
      </x:c>
      <x:c r="J25" s="68" t="n">
        <x:f>IF(ISNUMBER('Cash Flow'!F90),'Cash Flow'!J76/(1+'Cash Flow'!$F$90)^(('Cash Flow'!J$8-'Cash Flow'!$D$8)/365),NA())</x:f>
        <x:v>95987.65012622258</x:v>
      </x:c>
      <x:c r="K25" s="68" t="n">
        <x:f>IF(ISNUMBER('Cash Flow'!F90),'Cash Flow'!K76/(1+'Cash Flow'!$F$90)^(('Cash Flow'!K$8-'Cash Flow'!$D$8)/365),NA())</x:f>
        <x:v>459293.33463690965</x:v>
      </x:c>
      <x:c r="L25" s="68" t="n">
        <x:f>IF(ISNUMBER('Cash Flow'!F90),'Cash Flow'!L76/(1+'Cash Flow'!$F$90)^(('Cash Flow'!L$8-'Cash Flow'!$D$8)/365),NA())</x:f>
        <x:v>81405.8162143507</x:v>
      </x:c>
      <x:c r="M25" s="68" t="n">
        <x:f>IF(ISNUMBER('Cash Flow'!F90),'Cash Flow'!M76/(1+'Cash Flow'!$F$90)^(('Cash Flow'!M$8-'Cash Flow'!$D$8)/365),NA())</x:f>
        <x:v>76188.46948779444</x:v>
      </x:c>
      <x:c r="N25" s="68" t="n">
        <x:f>IF(ISNUMBER('Cash Flow'!F90),'Cash Flow'!N76/(1+'Cash Flow'!$F$90)^(('Cash Flow'!N$8-'Cash Flow'!$D$8)/365),NA())</x:f>
        <x:v>71289.03469671479</x:v>
      </x:c>
    </x:row>
    <x:row r="26" ht="23" customHeight="1">
      <x:c r="A26" s="2"/>
      <x:c r="B26" s="2"/>
      <x:c r="C26" s="2"/>
      <x:c r="D26" s="2"/>
      <x:c r="E26" s="2"/>
      <x:c r="F26" s="2"/>
      <x:c r="G26" s="2"/>
      <x:c r="H26" s="2"/>
      <x:c r="I26" s="2"/>
      <x:c r="J26" s="2"/>
      <x:c r="K26" s="2"/>
      <x:c r="L26" s="2"/>
      <x:c r="M26" s="2"/>
      <x:c r="N26" s="2"/>
    </x:row>
    <x:row r="27" ht="23" customHeight="1">
      <x:c r="A27" s="2"/>
      <x:c r="B27" s="2"/>
      <x:c r="C27" s="5" t="str">
        <x:v>Direct discounted terms validate positive or negative XIRR roots above −100%, without calling XNPV at the root.</x:v>
      </x:c>
      <x:c r="D27" s="2"/>
      <x:c r="E27" s="2"/>
      <x:c r="F27" s="2"/>
      <x:c r="G27" s="2"/>
      <x:c r="H27" s="2"/>
      <x:c r="I27" s="2"/>
      <x:c r="J27" s="2"/>
      <x:c r="K27" s="2"/>
      <x:c r="L27" s="2"/>
      <x:c r="M27" s="2"/>
      <x:c r="N27" s="2"/>
    </x:row>
    <x:row r="28" ht="23" customHeight="1">
      <x:c r="A28" s="2"/>
      <x:c r="B28" s="2"/>
      <x:c r="C28" s="2"/>
      <x:c r="D28" s="2"/>
      <x:c r="E28" s="2"/>
      <x:c r="F28" s="2"/>
      <x:c r="G28" s="2"/>
      <x:c r="H28" s="2"/>
      <x:c r="I28" s="2"/>
      <x:c r="J28" s="2"/>
      <x:c r="K28" s="2"/>
      <x:c r="L28" s="2"/>
      <x:c r="M28" s="2"/>
      <x:c r="N28" s="2"/>
    </x:row>
    <x:row r="29" ht="23" customHeight="1">
      <x:c r="A29" s="2"/>
      <x:c r="B29" s="2"/>
      <x:c r="C29" s="2"/>
      <x:c r="D29" s="2"/>
      <x:c r="E29" s="2"/>
      <x:c r="F29" s="2"/>
      <x:c r="G29" s="2"/>
      <x:c r="H29" s="2"/>
      <x:c r="I29" s="2"/>
      <x:c r="J29" s="2"/>
      <x:c r="K29" s="2"/>
      <x:c r="L29" s="2"/>
      <x:c r="M29" s="2"/>
      <x:c r="N29" s="2"/>
    </x:row>
    <x:row r="30" ht="23" customHeight="1">
      <x:c r="A30" s="2"/>
      <x:c r="B30" s="2"/>
      <x:c r="C30" s="2"/>
      <x:c r="D30" s="2"/>
      <x:c r="E30" s="2"/>
      <x:c r="F30" s="2"/>
      <x:c r="G30" s="2"/>
      <x:c r="H30" s="2"/>
      <x:c r="I30" s="2"/>
      <x:c r="J30" s="2"/>
      <x:c r="K30" s="2"/>
      <x:c r="L30" s="2"/>
      <x:c r="M30" s="2"/>
      <x:c r="N30" s="2"/>
    </x:row>
    <x:row r="31" ht="23" customHeight="1">
      <x:c r="A31" s="2"/>
      <x:c r="B31" s="2"/>
      <x:c r="C31" s="2"/>
      <x:c r="D31" s="2"/>
      <x:c r="E31" s="2"/>
      <x:c r="F31" s="2"/>
      <x:c r="G31" s="2"/>
      <x:c r="H31" s="2"/>
      <x:c r="I31" s="2"/>
      <x:c r="J31" s="2"/>
      <x:c r="K31" s="2"/>
      <x:c r="L31" s="2"/>
      <x:c r="M31" s="2"/>
      <x:c r="N31" s="2"/>
    </x:row>
    <x:row r="32" ht="23" customHeight="1">
      <x:c r="A32" s="2"/>
      <x:c r="B32" s="2"/>
      <x:c r="C32" s="2"/>
      <x:c r="D32" s="2"/>
      <x:c r="E32" s="2"/>
      <x:c r="F32" s="2"/>
      <x:c r="G32" s="2"/>
      <x:c r="H32" s="2"/>
      <x:c r="I32" s="2"/>
      <x:c r="J32" s="2"/>
      <x:c r="K32" s="2"/>
      <x:c r="L32" s="2"/>
      <x:c r="M32" s="2"/>
      <x:c r="N32" s="2"/>
    </x:row>
    <x:row r="33" ht="23" customHeight="1">
      <x:c r="A33" s="2"/>
      <x:c r="B33" s="2"/>
      <x:c r="C33" s="2"/>
      <x:c r="D33" s="2"/>
      <x:c r="E33" s="2"/>
      <x:c r="F33" s="2"/>
      <x:c r="G33" s="2"/>
      <x:c r="H33" s="2"/>
      <x:c r="I33" s="2"/>
      <x:c r="J33" s="2"/>
      <x:c r="K33" s="2"/>
      <x:c r="L33" s="2"/>
      <x:c r="M33" s="2"/>
      <x:c r="N33" s="2"/>
    </x:row>
    <x:row r="34" ht="23" customHeight="1">
      <x:c r="A34" s="2"/>
      <x:c r="B34" s="2"/>
      <x:c r="C34" s="2"/>
      <x:c r="D34" s="2"/>
      <x:c r="E34" s="2"/>
      <x:c r="F34" s="2"/>
      <x:c r="G34" s="2"/>
      <x:c r="H34" s="2"/>
      <x:c r="I34" s="2"/>
      <x:c r="J34" s="2"/>
      <x:c r="K34" s="2"/>
      <x:c r="L34" s="2"/>
      <x:c r="M34" s="2"/>
      <x:c r="N34" s="2"/>
    </x:row>
    <x:row r="35" ht="23" customHeight="1">
      <x:c r="A35" s="2"/>
      <x:c r="B35" s="2"/>
      <x:c r="C35" s="2"/>
      <x:c r="D35" s="2"/>
      <x:c r="E35" s="2"/>
      <x:c r="F35" s="2"/>
      <x:c r="G35" s="2"/>
      <x:c r="H35" s="2"/>
      <x:c r="I35" s="2"/>
      <x:c r="J35" s="2"/>
      <x:c r="K35" s="2"/>
      <x:c r="L35" s="2"/>
      <x:c r="M35" s="2"/>
      <x:c r="N35" s="2"/>
    </x:row>
    <x:row r="36" ht="23" customHeight="1">
      <x:c r="A36" s="2"/>
      <x:c r="B36" s="2"/>
      <x:c r="C36" s="2"/>
      <x:c r="D36" s="2"/>
      <x:c r="E36" s="2"/>
      <x:c r="F36" s="2"/>
      <x:c r="G36" s="2"/>
      <x:c r="H36" s="2"/>
      <x:c r="I36" s="2"/>
      <x:c r="J36" s="2"/>
      <x:c r="K36" s="2"/>
      <x:c r="L36" s="2"/>
      <x:c r="M36" s="2"/>
      <x:c r="N36" s="2"/>
    </x:row>
    <x:row r="37" ht="23" customHeight="1">
      <x:c r="A37" s="2"/>
      <x:c r="B37" s="2"/>
      <x:c r="C37" s="2"/>
      <x:c r="D37" s="2"/>
      <x:c r="E37" s="2"/>
      <x:c r="F37" s="2"/>
      <x:c r="G37" s="2"/>
      <x:c r="H37" s="2"/>
      <x:c r="I37" s="2"/>
      <x:c r="J37" s="2"/>
      <x:c r="K37" s="2"/>
      <x:c r="L37" s="2"/>
      <x:c r="M37" s="2"/>
      <x:c r="N37" s="2"/>
    </x:row>
    <x:row r="38" ht="23" customHeight="1">
      <x:c r="A38" s="2"/>
      <x:c r="B38" s="2"/>
      <x:c r="C38" s="2"/>
      <x:c r="D38" s="2"/>
      <x:c r="E38" s="2"/>
      <x:c r="F38" s="2"/>
      <x:c r="G38" s="2"/>
      <x:c r="H38" s="2"/>
      <x:c r="I38" s="2"/>
      <x:c r="J38" s="2"/>
      <x:c r="K38" s="2"/>
      <x:c r="L38" s="2"/>
      <x:c r="M38" s="2"/>
      <x:c r="N38" s="2"/>
    </x:row>
    <x:row r="39" ht="23" customHeight="1">
      <x:c r="A39" s="2"/>
      <x:c r="B39" s="2"/>
      <x:c r="C39" s="2"/>
      <x:c r="D39" s="2"/>
      <x:c r="E39" s="2"/>
      <x:c r="F39" s="2"/>
      <x:c r="G39" s="2"/>
      <x:c r="H39" s="2"/>
      <x:c r="I39" s="2"/>
      <x:c r="J39" s="2"/>
      <x:c r="K39" s="2"/>
      <x:c r="L39" s="2"/>
      <x:c r="M39" s="2"/>
      <x:c r="N39" s="2"/>
    </x:row>
    <x:row r="40" ht="23" customHeight="1">
      <x:c r="A40" s="2"/>
      <x:c r="B40" s="2"/>
      <x:c r="C40" s="2"/>
      <x:c r="D40" s="2"/>
      <x:c r="E40" s="2"/>
      <x:c r="F40" s="2"/>
      <x:c r="G40" s="2"/>
      <x:c r="H40" s="2"/>
      <x:c r="I40" s="2"/>
      <x:c r="J40" s="2"/>
      <x:c r="K40" s="2"/>
      <x:c r="L40" s="2"/>
      <x:c r="M40" s="2"/>
      <x:c r="N40" s="2"/>
    </x:row>
    <x:row r="41" ht="23" customHeight="1">
      <x:c r="A41" s="2"/>
      <x:c r="B41" s="2"/>
      <x:c r="C41" s="2"/>
      <x:c r="D41" s="2"/>
      <x:c r="E41" s="2"/>
      <x:c r="F41" s="2"/>
      <x:c r="G41" s="2"/>
      <x:c r="H41" s="2"/>
      <x:c r="I41" s="2"/>
      <x:c r="J41" s="2"/>
      <x:c r="K41" s="2"/>
      <x:c r="L41" s="2"/>
      <x:c r="M41" s="2"/>
      <x:c r="N41" s="2"/>
    </x:row>
    <x:row r="42" ht="23" customHeight="1">
      <x:c r="A42" s="2"/>
      <x:c r="B42" s="2"/>
      <x:c r="C42" s="2"/>
      <x:c r="D42" s="2"/>
      <x:c r="E42" s="2"/>
      <x:c r="F42" s="2"/>
      <x:c r="G42" s="2"/>
      <x:c r="H42" s="2"/>
      <x:c r="I42" s="2"/>
      <x:c r="J42" s="2"/>
      <x:c r="K42" s="2"/>
      <x:c r="L42" s="2"/>
      <x:c r="M42" s="2"/>
      <x:c r="N42" s="2"/>
    </x:row>
    <x:row r="43" ht="23" customHeight="1">
      <x:c r="A43" s="2"/>
      <x:c r="B43" s="2"/>
      <x:c r="C43" s="2"/>
      <x:c r="D43" s="2"/>
      <x:c r="E43" s="2"/>
      <x:c r="F43" s="2"/>
      <x:c r="G43" s="2"/>
      <x:c r="H43" s="2"/>
      <x:c r="I43" s="2"/>
      <x:c r="J43" s="2"/>
      <x:c r="K43" s="2"/>
      <x:c r="L43" s="2"/>
      <x:c r="M43" s="2"/>
      <x:c r="N43" s="2"/>
    </x:row>
  </x:sheetData>
  <x:conditionalFormatting sqref="D8:D21">
    <x:cfRule type="cellIs" dxfId="0" priority="1" operator="notBetween">
      <x:formula>-0.01</x:formula>
      <x:formula>0.01</x:formula>
    </x:cfRule>
  </x:conditionalFormatting>
  <x:printOptions horizontalCentered="1" headings="0" gridLines="0"/>
  <x:pageMargins left="0.3" right="0.3" top="0.35" bottom="0.35" header="0.15" footer="0.15"/>
  <x:pageSetup paperSize="3" orientation="landscape" fitToWidth="1" fitToHeight="0"/>
  <x:headerFooter>
    <x:oddFooter>&amp;L&amp;"Times New Roman,Regular"&amp;9Audit&amp;RPage &amp;P of &amp;N</x:oddFooter>
  </x:headerFooter>
</x:worksheet>
</file>

<file path=xl/worksheets/sheet9.xml><?xml version="1.0" encoding="utf-8"?>
<x:worksheet xmlns:x="http://schemas.openxmlformats.org/spreadsheetml/2006/main">
  <x:sheetPr>
    <x:pageSetUpPr fitToPage="1"/>
  </x:sheetPr>
  <x:sheetViews>
    <x:sheetView showGridLines="0" workbookViewId="0">
      <x:pane ySplit="7" topLeftCell="A8" activePane="bottomLeft" state="frozen"/>
    </x:sheetView>
  </x:sheetViews>
  <x:sheetFormatPr defaultRowHeight="15"/>
  <x:cols>
    <x:col min="1" max="1" width="3" hidden="0" customWidth="1"/>
    <x:col min="2" max="2" width="3" hidden="0" customWidth="1"/>
    <x:col min="3" max="3" width="10" hidden="0" customWidth="1"/>
    <x:col min="4" max="4" width="39" hidden="0" customWidth="1"/>
    <x:col min="5" max="5" width="67" hidden="0" customWidth="1"/>
    <x:col min="6" max="6" width="70" hidden="0" customWidth="1"/>
    <x:col min="7" max="7" width="18" hidden="0" customWidth="1"/>
    <x:col min="8" max="8" width="18" hidden="0" customWidth="1"/>
  </x:cols>
  <x:sheetData>
    <x:row r="1" ht="23" customHeight="1">
      <x:c r="A1" s="2"/>
      <x:c r="B1" s="2"/>
      <x:c r="C1" s="2"/>
      <x:c r="D1" s="2"/>
      <x:c r="E1" s="2"/>
      <x:c r="F1" s="2"/>
      <x:c r="G1" s="2"/>
      <x:c r="H1" s="2"/>
    </x:row>
    <x:row r="2" ht="23" customHeight="1">
      <x:c r="A2" s="2"/>
      <x:c r="B2" s="2"/>
      <x:c r="C2" s="3" t="str">
        <x:v>Sources, assumptions and changes</x:v>
      </x:c>
      <x:c r="D2" s="2"/>
      <x:c r="E2" s="2"/>
      <x:c r="F2" s="2"/>
      <x:c r="G2" s="2"/>
      <x:c r="H2" s="2"/>
    </x:row>
    <x:row r="3" ht="23" customHeight="1">
      <x:c r="A3" s="2"/>
      <x:c r="B3" s="2"/>
      <x:c r="C3" s="5" t="str">
        <x:v>Source register retained from the PDF. Reference existence does not validate a building-specific estimate.</x:v>
      </x:c>
      <x:c r="D3" s="2"/>
      <x:c r="E3" s="2"/>
      <x:c r="F3" s="2"/>
      <x:c r="G3" s="2"/>
      <x:c r="H3" s="2"/>
    </x:row>
    <x:row r="4" ht="23" customHeight="1">
      <x:c r="A4" s="2"/>
      <x:c r="B4" s="2"/>
      <x:c r="C4" s="2"/>
      <x:c r="D4" s="2"/>
      <x:c r="E4" s="2"/>
      <x:c r="F4" s="2"/>
      <x:c r="G4" s="2"/>
      <x:c r="H4" s="2"/>
    </x:row>
    <x:row r="5" ht="23" customHeight="1">
      <x:c r="A5" s="2"/>
      <x:c r="B5" s="2"/>
      <x:c r="C5" s="2" t="str">
        <x:v>Selected scenario</x:v>
      </x:c>
      <x:c r="D5" s="56" t="str">
        <x:f>'Assumptions'!E6</x:f>
        <x:v>Base</x:v>
      </x:c>
      <x:c r="E5" s="2"/>
      <x:c r="F5" s="2"/>
      <x:c r="G5" s="2"/>
      <x:c r="H5" s="2"/>
    </x:row>
    <x:row r="6" ht="23" customHeight="1">
      <x:c r="A6" s="2"/>
      <x:c r="B6" s="2"/>
      <x:c r="C6" s="2"/>
      <x:c r="D6" s="2"/>
      <x:c r="E6" s="2"/>
      <x:c r="F6" s="2"/>
      <x:c r="G6" s="2"/>
      <x:c r="H6" s="2"/>
    </x:row>
    <x:row r="7" ht="28" customHeight="1">
      <x:c r="A7" s="2"/>
      <x:c r="B7" s="2"/>
      <x:c r="C7" s="11" t="str">
        <x:v>ID</x:v>
      </x:c>
      <x:c r="D7" s="11" t="str">
        <x:v>Reference</x:v>
      </x:c>
      <x:c r="E7" s="11" t="str">
        <x:v>URL / source location</x:v>
      </x:c>
      <x:c r="F7" s="11" t="str">
        <x:v>Use and limitation</x:v>
      </x:c>
      <x:c r="G7" s="2"/>
      <x:c r="H7" s="2"/>
    </x:row>
    <x:row r="8" ht="60" customHeight="1">
      <x:c r="A8" s="2"/>
      <x:c r="B8" s="2"/>
      <x:c r="C8" s="2" t="str">
        <x:v>PDF</x:v>
      </x:c>
      <x:c r="D8" s="55" t="str">
        <x:v>Supplied financial model (PDF)</x:v>
      </x:c>
      <x:c r="E8" s="55" t="str">
        <x:v>Final_HVAC_CapEx_Financial_Model.pdf</x:v>
      </x:c>
      <x:c r="F8" s="55" t="str">
        <x:v>Authoritative reconstruction source for assumptions, budgets, schedules and displayed base-case results.</x:v>
      </x:c>
      <x:c r="G8" s="2"/>
      <x:c r="H8" s="2"/>
    </x:row>
    <x:row r="9" ht="60" customHeight="1">
      <x:c r="A9" s="2"/>
      <x:c r="B9" s="2"/>
      <x:c r="C9" s="2" t="str">
        <x:v>S01</x:v>
      </x:c>
      <x:c r="D9" s="55" t="str">
        <x:v>DOE FEMP: Electric chillers</x:v>
      </x:c>
      <x:c r="E9" s="55" t="str">
        <x:v>https://www.energy.gov/cmei/femp/purchasing-energy-efficient-electric-chillers</x:v>
      </x:c>
      <x:c r="F9" s="55" t="str">
        <x:v>Benchmark context and reference service life. Not site-measured annual performance.</x:v>
      </x:c>
      <x:c r="G9" s="2"/>
      <x:c r="H9" s="2"/>
    </x:row>
    <x:row r="10" ht="60" customHeight="1">
      <x:c r="A10" s="2"/>
      <x:c r="B10" s="2"/>
      <x:c r="C10" s="2" t="str">
        <x:v>S02</x:v>
      </x:c>
      <x:c r="D10" s="55" t="str">
        <x:v>EIA Electric Power Monthly</x:v>
      </x:c>
      <x:c r="E10" s="55" t="str">
        <x:v>https://www.eia.gov/electricity/monthly/epm_table_grapher.php?t=epmt_5_6_a</x:v>
      </x:c>
      <x:c r="F10" s="55" t="str">
        <x:v>Source PDF cites July 2026 NY commercial average. Model uses an assumed marginal avoided price.</x:v>
      </x:c>
      <x:c r="G10" s="2"/>
      <x:c r="H10" s="2"/>
    </x:row>
    <x:row r="11" ht="60" customHeight="1">
      <x:c r="A11" s="2"/>
      <x:c r="B11" s="2"/>
      <x:c r="C11" s="2" t="str">
        <x:v>S03</x:v>
      </x:c>
      <x:c r="D11" s="55" t="str">
        <x:v>Con Edison tariff FAQs</x:v>
      </x:c>
      <x:c r="E11" s="55" t="str">
        <x:v>https://www.coned.com/es/rates-tariffs/rates/electric-rates-schedule/faqs</x:v>
      </x:c>
      <x:c r="F11" s="55" t="str">
        <x:v>Demand and fixed charges require separate billing analysis. No separate demand saving booked.</x:v>
      </x:c>
      <x:c r="G11" s="2"/>
      <x:c r="H11" s="2"/>
    </x:row>
    <x:row r="12" ht="60" customHeight="1">
      <x:c r="A12" s="2"/>
      <x:c r="B12" s="2"/>
      <x:c r="C12" s="2" t="str">
        <x:v>S04</x:v>
      </x:c>
      <x:c r="D12" s="55" t="str">
        <x:v>Con Edison efficiency programs</x:v>
      </x:c>
      <x:c r="E12" s="55" t="str">
        <x:v>https://www.coned.com/en/save-money/rebates-incentives-tax-credits/rebates-incentives-tax-credits-for-commercial-industrial-buildings-customers/save-with-energy-efficiency-upgrades</x:v>
      </x:c>
      <x:c r="F12" s="55" t="str">
        <x:v>Eligibility and award amounts are unverified. No incentive is included.</x:v>
      </x:c>
      <x:c r="G12" s="2"/>
      <x:c r="H12" s="2"/>
    </x:row>
    <x:row r="13" ht="60" customHeight="1">
      <x:c r="A13" s="2"/>
      <x:c r="B13" s="2"/>
      <x:c r="C13" s="2" t="str">
        <x:v>S05</x:v>
      </x:c>
      <x:c r="D13" s="55" t="str">
        <x:v>NYC DOB: 1 RCNY 103-14</x:v>
      </x:c>
      <x:c r="E13" s="55" t="str">
        <x:v>https://www.nyc.gov/assets/buildings/rules/1_RCNY_103-14.pdf</x:v>
      </x:c>
      <x:c r="F13" s="55" t="str">
        <x:v>Screening coefficients carried from PDF. Current building-specific compliance is not established.</x:v>
      </x:c>
      <x:c r="G13" s="2"/>
      <x:c r="H13" s="2"/>
    </x:row>
    <x:row r="14" ht="60" customHeight="1">
      <x:c r="A14" s="2"/>
      <x:c r="B14" s="2"/>
      <x:c r="C14" s="2" t="str">
        <x:v>S06</x:v>
      </x:c>
      <x:c r="D14" s="55" t="str">
        <x:v>NYC Local Law 97 of 2019</x:v>
      </x:c>
      <x:c r="E14" s="55" t="str">
        <x:v>https://www.nyc.gov/assets/buildings/local_laws/ll97of2019.pdf</x:v>
      </x:c>
      <x:c r="F14" s="55" t="str">
        <x:v>Screening emissions factors and maximum penalty. Excluded from financial cash flow.</x:v>
      </x:c>
      <x:c r="G14" s="2"/>
      <x:c r="H14" s="2"/>
    </x:row>
    <x:row r="15" ht="60" customHeight="1">
      <x:c r="A15" s="2"/>
      <x:c r="B15" s="2"/>
      <x:c r="C15" s="2" t="str">
        <x:v>S07</x:v>
      </x:c>
      <x:c r="D15" s="55" t="str">
        <x:v>NYC DOB: LL97 guidance</x:v>
      </x:c>
      <x:c r="E15" s="55" t="str">
        <x:v>https://www.nyc.gov/site/buildings/codes/ll97-greenhouse-gas-emissions-reductions.page</x:v>
      </x:c>
      <x:c r="F15" s="55" t="str">
        <x:v>Coverage, adjustments and mitigation require a separate site review.</x:v>
      </x:c>
      <x:c r="G15" s="2"/>
      <x:c r="H15" s="2"/>
    </x:row>
    <x:row r="16" ht="60" customHeight="1">
      <x:c r="A16" s="2"/>
      <x:c r="B16" s="2"/>
      <x:c r="C16" s="2" t="str">
        <x:v>S08</x:v>
      </x:c>
      <x:c r="D16" s="55" t="str">
        <x:v>IRS Publication 946 (2025)</x:v>
      </x:c>
      <x:c r="E16" s="55" t="str">
        <x:v>https://www.irs.gov/publications/p946</x:v>
      </x:c>
      <x:c r="F16" s="55" t="str">
        <x:v>Reopened 22 October 2026. 39-year property and computer schedules are model classification assumptions; no 179 or bonus is modeled.</x:v>
      </x:c>
      <x:c r="G16" s="2"/>
      <x:c r="H16" s="2"/>
    </x:row>
    <x:row r="17" ht="60" customHeight="1">
      <x:c r="A17" s="2"/>
      <x:c r="B17" s="2"/>
      <x:c r="C17" s="2" t="str">
        <x:v>S09</x:v>
      </x:c>
      <x:c r="D17" s="55" t="str">
        <x:v>NREL ComStock chiller replacement</x:v>
      </x:c>
      <x:c r="E17" s="55" t="str">
        <x:v>https://www.nlr.gov/docs/fy25osti/95003.pdf</x:v>
      </x:c>
      <x:c r="F17" s="55" t="str">
        <x:v>Inherited reference for systems methodology. National simulated savings are not assigned to this building.</x:v>
      </x:c>
      <x:c r="G17" s="2"/>
      <x:c r="H17" s="2"/>
    </x:row>
    <x:row r="18" ht="60" customHeight="1">
      <x:c r="A18" s="2"/>
      <x:c r="B18" s="2"/>
      <x:c r="C18" s="2" t="str">
        <x:v>S10</x:v>
      </x:c>
      <x:c r="D18" s="55" t="str">
        <x:v>DOE: Preventative HVAC maintenance</x:v>
      </x:c>
      <x:c r="E18" s="55" t="str">
        <x:v>https://betterbuildingssolutioncenter.energy.gov/solutions-at-a-glance/preventative-maintenance-commercial-hvac-equipment</x:v>
      </x:c>
      <x:c r="F18" s="55" t="str">
        <x:v>Maintenance context only. All dollar budgets remain assumptions.</x:v>
      </x:c>
      <x:c r="G18" s="2"/>
      <x:c r="H18" s="2"/>
    </x:row>
    <x:row r="19" ht="60" customHeight="1">
      <x:c r="A19" s="2"/>
      <x:c r="B19" s="2"/>
      <x:c r="C19" s="2" t="str">
        <x:v>S11</x:v>
      </x:c>
      <x:c r="D19" s="55" t="str">
        <x:v>NYC DCAS: 22 Reade procurement</x:v>
      </x:c>
      <x:c r="E19" s="55" t="str">
        <x:v>https://a856-cityrecord.nyc.gov/RequestDetail/20250407022</x:v>
      </x:c>
      <x:c r="F19" s="55" t="str">
        <x:v>Different scope and unknown comparable capacity. Not used as an installed $/ton estimate.</x:v>
      </x:c>
      <x:c r="G19" s="2"/>
      <x:c r="H19" s="2"/>
    </x:row>
    <x:row r="20" ht="60" customHeight="1">
      <x:c r="A20" s="2"/>
      <x:c r="B20" s="2"/>
      <x:c r="C20" s="2" t="str">
        <x:v>S12</x:v>
      </x:c>
      <x:c r="D20" s="55" t="str">
        <x:v>NYC DCAS: Queens procurement</x:v>
      </x:c>
      <x:c r="E20" s="55" t="str">
        <x:v>https://a856-cityrecord.nyc.gov/RequestDetail/20250407025</x:v>
      </x:c>
      <x:c r="F20" s="55" t="str">
        <x:v>Different scope. Not used to validate this budget.</x:v>
      </x:c>
      <x:c r="G20" s="2"/>
      <x:c r="H20" s="2"/>
    </x:row>
    <x:row r="21" ht="60" customHeight="1">
      <x:c r="A21" s="2"/>
      <x:c r="B21" s="2"/>
      <x:c r="C21" s="2" t="str">
        <x:v>S13</x:v>
      </x:c>
      <x:c r="D21" s="55" t="str">
        <x:v>DOE: Electric motor standards</x:v>
      </x:c>
      <x:c r="E21" s="55" t="str">
        <x:v>https://www.energy.gov/sites/default/files/2023-05/em-ecs-dfr.pdf</x:v>
      </x:c>
      <x:c r="F21" s="55" t="str">
        <x:v>Affinity-law applicability is conditional. Auxiliary input fractions are assumed.</x:v>
      </x:c>
      <x:c r="G21" s="2"/>
      <x:c r="H21" s="2"/>
    </x:row>
    <x:row r="22" ht="60" customHeight="1">
      <x:c r="A22" s="2"/>
      <x:c r="B22" s="2"/>
      <x:c r="C22" s="2" t="str">
        <x:v>S14</x:v>
      </x:c>
      <x:c r="D22" s="55" t="str">
        <x:v>Microsoft: XIRR function</x:v>
      </x:c>
      <x:c r="E22" s="55" t="str">
        <x:v>https://support.microsoft.com/en-us/excel/functions/xirr-function</x:v>
      </x:c>
      <x:c r="F22" s="55" t="str">
        <x:v>Reopened 22 October 2026. Dated cash-flow IRR uses a 365-day basis.</x:v>
      </x:c>
      <x:c r="G22" s="2"/>
      <x:c r="H22" s="2"/>
    </x:row>
    <x:row r="23" ht="23" customHeight="1">
      <x:c r="A23" s="2"/>
      <x:c r="B23" s="2"/>
      <x:c r="C23" s="2"/>
      <x:c r="D23" s="2"/>
      <x:c r="E23" s="2"/>
      <x:c r="F23" s="2"/>
      <x:c r="G23" s="2"/>
      <x:c r="H23" s="2"/>
    </x:row>
    <x:row r="24" ht="23" customHeight="1">
      <x:c r="A24" s="2"/>
      <x:c r="B24" s="2"/>
      <x:c r="C24" s="18" t="str">
        <x:v>What changed</x:v>
      </x:c>
      <x:c r="D24" s="18"/>
      <x:c r="E24" s="18"/>
      <x:c r="F24" s="18"/>
      <x:c r="G24" s="2"/>
      <x:c r="H24" s="2"/>
    </x:row>
    <x:row r="25" ht="30" customHeight="1">
      <x:c r="A25" s="2"/>
      <x:c r="B25" s="2"/>
      <x:c r="C25" s="2"/>
      <x:c r="D25" s="55" t="str">
        <x:v>Rebuilt editable formulas from the PDF and preserved its engineering, budget and tax assumptions.</x:v>
      </x:c>
      <x:c r="E25" s="55"/>
      <x:c r="F25" s="55"/>
      <x:c r="G25" s="2"/>
      <x:c r="H25" s="2"/>
    </x:row>
    <x:row r="26" ht="30" customHeight="1">
      <x:c r="A26" s="2"/>
      <x:c r="B26" s="2"/>
      <x:c r="C26" s="2"/>
      <x:c r="D26" s="55" t="str">
        <x:v>Applied Times New Roman to every worksheet and chart. Added clear section spacing and input cues.</x:v>
      </x:c>
      <x:c r="E26" s="55"/>
      <x:c r="F26" s="55"/>
      <x:c r="G26" s="2"/>
      <x:c r="H26" s="2"/>
    </x:row>
    <x:row r="27" ht="30" customHeight="1">
      <x:c r="A27" s="2"/>
      <x:c r="B27" s="2"/>
      <x:c r="C27" s="2"/>
      <x:c r="D27" s="55" t="str">
        <x:v>Replaced the failed XIRR audit with direct discounted cash-flow terms, including negative IRRs.</x:v>
      </x:c>
      <x:c r="E27" s="55"/>
      <x:c r="F27" s="55"/>
      <x:c r="G27" s="2"/>
      <x:c r="H27" s="2"/>
    </x:row>
    <x:row r="28" ht="30" customHeight="1">
      <x:c r="A28" s="2"/>
      <x:c r="B28" s="2"/>
      <x:c r="C28" s="2"/>
      <x:c r="D28" s="55" t="str">
        <x:v>Removed unsupported claims about 2,060 verified formulas and a 104-test script.</x:v>
      </x:c>
      <x:c r="E28" s="55"/>
      <x:c r="F28" s="55"/>
      <x:c r="G28" s="2"/>
      <x:c r="H28" s="2"/>
    </x:row>
    <x:row r="29" ht="30" customHeight="1">
      <x:c r="A29" s="2"/>
      <x:c r="B29" s="2"/>
      <x:c r="C29" s="2"/>
      <x:c r="D29" s="55" t="str">
        <x:v>Made the 10-year cutoff, excluded terminal value and subjective scenario weights explicit.</x:v>
      </x:c>
      <x:c r="E29" s="55"/>
      <x:c r="F29" s="55"/>
      <x:c r="G29" s="2"/>
      <x:c r="H29" s="2"/>
    </x:row>
    <x:row r="30" ht="30" customHeight="1">
      <x:c r="A30" s="2"/>
      <x:c r="B30" s="2"/>
      <x:c r="C30" s="2"/>
      <x:c r="D30" s="55" t="str">
        <x:v>Retained the source linear scenario/sensitivity approach and live links to the active model.</x:v>
      </x:c>
      <x:c r="E30" s="55"/>
      <x:c r="F30" s="55"/>
      <x:c r="G30" s="2"/>
      <x:c r="H30" s="2"/>
    </x:row>
    <x:row r="31" ht="30" customHeight="1">
      <x:c r="A31" s="2"/>
      <x:c r="B31" s="2"/>
      <x:c r="C31" s="2"/>
      <x:c r="D31" s="55" t="str">
        <x:v>Set print areas and repeated headers to exclude chart-helper data and reduce fragmented exports.</x:v>
      </x:c>
      <x:c r="E31" s="55"/>
      <x:c r="F31" s="55"/>
      <x:c r="G31" s="2"/>
      <x:c r="H31" s="2"/>
    </x:row>
    <x:row r="32" ht="23" customHeight="1">
      <x:c r="A32" s="2"/>
      <x:c r="B32" s="2"/>
      <x:c r="C32" s="2"/>
      <x:c r="D32" s="2"/>
      <x:c r="E32" s="2"/>
      <x:c r="F32" s="2"/>
      <x:c r="G32" s="2"/>
      <x:c r="H32" s="2"/>
    </x:row>
    <x:row r="33" ht="23" customHeight="1">
      <x:c r="A33" s="2"/>
      <x:c r="B33" s="2"/>
      <x:c r="C33" s="2"/>
      <x:c r="D33" s="2"/>
      <x:c r="E33" s="2"/>
      <x:c r="F33" s="2"/>
      <x:c r="G33" s="2"/>
      <x:c r="H33" s="2"/>
    </x:row>
    <x:row r="34" ht="23" customHeight="1">
      <x:c r="A34" s="2"/>
      <x:c r="B34" s="2"/>
      <x:c r="C34" s="18" t="str">
        <x:v>Model boundaries</x:v>
      </x:c>
      <x:c r="D34" s="18"/>
      <x:c r="E34" s="18"/>
      <x:c r="F34" s="18"/>
      <x:c r="G34" s="2"/>
      <x:c r="H34" s="2"/>
    </x:row>
    <x:row r="35" ht="32" customHeight="1">
      <x:c r="A35" s="2"/>
      <x:c r="B35" s="2"/>
      <x:c r="C35" s="2"/>
      <x:c r="D35" s="55" t="str">
        <x:v>All building facts, costs, schedules and performance curves are hypothetical or planning estimates.</x:v>
      </x:c>
      <x:c r="E35" s="55"/>
      <x:c r="F35" s="55"/>
      <x:c r="G35" s="2"/>
      <x:c r="H35" s="2"/>
    </x:row>
    <x:row r="36" ht="32" customHeight="1">
      <x:c r="A36" s="2"/>
      <x:c r="B36" s="2"/>
      <x:c r="C36" s="2"/>
      <x:c r="D36" s="55" t="str">
        <x:v>No terminal proceeds are modeled. A 10-year rejection does not establish lifetime uneconomic performance.</x:v>
      </x:c>
      <x:c r="E36" s="55"/>
      <x:c r="F36" s="55"/>
      <x:c r="G36" s="2"/>
      <x:c r="H36" s="2"/>
    </x:row>
    <x:row r="37" ht="32" customHeight="1">
      <x:c r="A37" s="2"/>
      <x:c r="B37" s="2"/>
      <x:c r="C37" s="2"/>
      <x:c r="D37" s="55" t="str">
        <x:v>Taxes assume sufficient income to use deductions immediately. No debt or working-capital schedule is included.</x:v>
      </x:c>
      <x:c r="E37" s="55"/>
      <x:c r="F37" s="55"/>
      <x:c r="G37" s="2"/>
      <x:c r="H37" s="2"/>
    </x:row>
    <x:row r="38" ht="32" customHeight="1">
      <x:c r="A38" s="2"/>
      <x:c r="B38" s="2"/>
      <x:c r="C38" s="2"/>
      <x:c r="D38" s="55" t="str">
        <x:v>Dates and classifications follow the PDF. Actual bids, lease terms and asset tax eligibility need evidence.</x:v>
      </x:c>
      <x:c r="E38" s="55"/>
      <x:c r="F38" s="55"/>
      <x:c r="G38" s="2"/>
      <x:c r="H38" s="2"/>
    </x:row>
    <x:row r="39" ht="32" customHeight="1">
      <x:c r="A39" s="2"/>
      <x:c r="B39" s="2"/>
      <x:c r="C39" s="2"/>
      <x:c r="D39" s="55" t="str">
        <x:v>Results are checked in the calculation engine and by independent cash-flow calculations. Desktop Excel was not available.</x:v>
      </x:c>
      <x:c r="E39" s="55"/>
      <x:c r="F39" s="55"/>
      <x:c r="G39" s="2"/>
      <x:c r="H39" s="2"/>
    </x:row>
    <x:row r="40" ht="23" customHeight="1">
      <x:c r="A40" s="2"/>
      <x:c r="B40" s="2"/>
      <x:c r="C40" s="2"/>
      <x:c r="D40" s="2"/>
      <x:c r="E40" s="2"/>
      <x:c r="F40" s="2"/>
      <x:c r="G40" s="2"/>
      <x:c r="H40" s="2"/>
    </x:row>
    <x:row r="41" ht="23" customHeight="1">
      <x:c r="A41" s="2"/>
      <x:c r="B41" s="2"/>
      <x:c r="C41" s="2"/>
      <x:c r="D41" s="2"/>
      <x:c r="E41" s="2"/>
      <x:c r="F41" s="2"/>
      <x:c r="G41" s="2"/>
      <x:c r="H41" s="2"/>
    </x:row>
    <x:row r="42" ht="23" customHeight="1">
      <x:c r="A42" s="2"/>
      <x:c r="B42" s="2"/>
      <x:c r="C42" s="2"/>
      <x:c r="D42" s="2"/>
      <x:c r="E42" s="2"/>
      <x:c r="F42" s="2"/>
      <x:c r="G42" s="2"/>
      <x:c r="H42" s="2"/>
    </x:row>
    <x:row r="43" ht="23" customHeight="1">
      <x:c r="A43" s="2"/>
      <x:c r="B43" s="2"/>
      <x:c r="C43" s="2"/>
      <x:c r="D43" s="2"/>
      <x:c r="E43" s="2"/>
      <x:c r="F43" s="2"/>
      <x:c r="G43" s="2"/>
      <x:c r="H43" s="2"/>
    </x:row>
    <x:row r="44" ht="23" customHeight="1">
      <x:c r="A44" s="2"/>
      <x:c r="B44" s="2"/>
      <x:c r="C44" s="2"/>
      <x:c r="D44" s="2"/>
      <x:c r="E44" s="2"/>
      <x:c r="F44" s="2"/>
      <x:c r="G44" s="2"/>
      <x:c r="H44" s="2"/>
    </x:row>
    <x:row r="45" ht="23" customHeight="1">
      <x:c r="A45" s="2"/>
      <x:c r="B45" s="2"/>
      <x:c r="C45" s="2"/>
      <x:c r="D45" s="2"/>
      <x:c r="E45" s="2"/>
      <x:c r="F45" s="2"/>
      <x:c r="G45" s="2"/>
      <x:c r="H45" s="2"/>
    </x:row>
    <x:row r="46" ht="23" customHeight="1">
      <x:c r="A46" s="2"/>
      <x:c r="B46" s="2"/>
      <x:c r="C46" s="2"/>
      <x:c r="D46" s="2"/>
      <x:c r="E46" s="2"/>
      <x:c r="F46" s="2"/>
      <x:c r="G46" s="2"/>
      <x:c r="H46" s="2"/>
    </x:row>
    <x:row r="47" ht="23" customHeight="1">
      <x:c r="A47" s="2"/>
      <x:c r="B47" s="2"/>
      <x:c r="C47" s="2"/>
      <x:c r="D47" s="2"/>
      <x:c r="E47" s="2"/>
      <x:c r="F47" s="2"/>
      <x:c r="G47" s="2"/>
      <x:c r="H47" s="2"/>
    </x:row>
    <x:row r="48" ht="23" customHeight="1">
      <x:c r="A48" s="2"/>
      <x:c r="B48" s="2"/>
      <x:c r="C48" s="2"/>
      <x:c r="D48" s="2"/>
      <x:c r="E48" s="2"/>
      <x:c r="F48" s="2"/>
      <x:c r="G48" s="2"/>
      <x:c r="H48" s="2"/>
    </x:row>
  </x:sheetData>
  <x:mergeCells>
    <x:mergeCell ref="D25:F25"/>
    <x:mergeCell ref="D26:F26"/>
    <x:mergeCell ref="D27:F27"/>
    <x:mergeCell ref="D28:F28"/>
    <x:mergeCell ref="D29:F29"/>
    <x:mergeCell ref="D30:F30"/>
    <x:mergeCell ref="D31:F31"/>
    <x:mergeCell ref="D35:F35"/>
    <x:mergeCell ref="D36:F36"/>
    <x:mergeCell ref="D37:F37"/>
    <x:mergeCell ref="D38:F38"/>
    <x:mergeCell ref="D39:F39"/>
  </x:mergeCells>
  <x:printOptions horizontalCentered="1" headings="0" gridLines="0"/>
  <x:pageMargins left="0.3" right="0.3" top="0.35" bottom="0.35" header="0.15" footer="0.15"/>
  <x:pageSetup paperSize="3" orientation="landscape" fitToWidth="1" fitToHeight="0"/>
  <x:headerFooter>
    <x:oddFooter>&amp;L&amp;"Times New Roman,Regular"&amp;9Sources&amp;RPage &amp;P of &amp;N</x:oddFooter>
  </x:headerFooter>
</x:worksheet>
</file>